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kPITemUVCiZTahAPWmh/y/Ze6zXLo2oD8FFxHuZnObDIS7dbR9RXEMclArBXhVY4VT7HE2KZdJeIAPHwjBoR8A==" workbookSaltValue="X1Bc1PB4yPnU6GNHKyyMM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S279" i="83" l="1"/>
  <c r="AA133" i="83"/>
  <c r="Z133" i="83"/>
  <c r="AC245" i="83"/>
  <c r="AH245" i="83" s="1"/>
  <c r="AC214" i="83"/>
  <c r="AK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H214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J74" i="83" l="1"/>
  <c r="AN74" i="83" s="1"/>
  <c r="Y53" i="83" s="1"/>
  <c r="AI214" i="83"/>
  <c r="AG190" i="83"/>
  <c r="AC334" i="83"/>
  <c r="AK334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334" i="83" l="1"/>
  <c r="AH334" i="83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<sst xmlns="http://schemas.openxmlformats.org/spreadsheetml/2006/main" count="65773" uniqueCount="757">
  <si>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</si>
  <si>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</si>
  <si>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</si>
  <si>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</si>
  <si>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</si>
  <si>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</si>
  <si>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</si>
  <si>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</si>
  <si>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</si>
  <si>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</si>
  <si>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</si>
  <si>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</si>
  <si>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</si>
  <si>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</si>
  <si>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</si>
  <si>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</si>
  <si>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</si>
  <si>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</si>
  <si>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</si>
  <si>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</si>
  <si>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</si>
  <si>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</si>
  <si>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</si>
  <si>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</si>
  <si>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</si>
  <si>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</si>
  <si>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</si>
  <si>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</si>
  <si>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</si>
  <si>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</si>
  <si>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</si>
  <si>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</si>
  <si>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</si>
  <si>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</si>
  <si>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</si>
  <si>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</si>
  <si>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</si>
  <si>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</si>
  <si>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</si>
  <si>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</si>
  <si>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</si>
  <si>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</si>
  <si>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</si>
  <si>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</si>
  <si>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</si>
  <si>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</si>
  <si>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</si>
  <si>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</si>
  <si>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</si>
  <si>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</si>
  <si>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</si>
  <si>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</si>
  <si>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</si>
  <si>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</si>
  <si>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</si>
  <si>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</si>
  <si>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</si>
  <si>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</si>
  <si>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</si>
  <si>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</si>
  <si>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</si>
  <si>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</si>
  <si>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</si>
  <si>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</si>
  <si>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</si>
  <si>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</si>
  <si>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</si>
  <si>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</si>
  <si>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</si>
  <si>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</si>
  <si>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</si>
  <si>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</si>
  <si>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</si>
  <si>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</si>
  <si>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</si>
  <si>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</si>
  <si>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</si>
  <si>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</si>
  <si>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</si>
  <si>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</si>
  <si>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</si>
  <si>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</si>
  <si>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</si>
  <si>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</si>
  <si>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</si>
  <si>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</si>
  <si>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</si>
  <si>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</si>
  <si>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</si>
  <si>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</si>
  <si>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</si>
  <si>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</si>
  <si>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</si>
  <si>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</si>
  <si>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</si>
  <si>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</si>
  <si>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</si>
  <si>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</si>
  <si>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</si>
  <si>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</si>
  <si>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</si>
  <si>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</si>
  <si>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</si>
  <si>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</si>
  <si>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</si>
  <si>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</si>
  <si>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</si>
  <si>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</si>
  <si>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</si>
  <si>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</si>
  <si>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</si>
  <si>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</si>
  <si>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</si>
  <si>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</si>
  <si>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</si>
  <si>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</si>
  <si>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</si>
  <si>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</si>
  <si>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</si>
  <si>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</si>
  <si>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</si>
  <si>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</si>
  <si>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</si>
  <si>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</si>
  <si>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</si>
  <si>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</si>
  <si>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</si>
  <si>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</si>
  <si>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</si>
  <si>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</si>
  <si>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</si>
  <si>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</si>
  <si>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</si>
  <si>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</si>
  <si>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</si>
  <si>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</si>
  <si>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</si>
  <si>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</si>
  <si>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</si>
  <si>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</si>
  <si>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</si>
  <si>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</si>
  <si>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</si>
  <si>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</si>
  <si>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</si>
  <si>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</si>
  <si>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</si>
  <si>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</si>
  <si>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</si>
  <si>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</si>
  <si>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</si>
  <si>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</si>
  <si>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</si>
  <si>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</si>
  <si>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</si>
  <si>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</si>
  <si>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</si>
  <si>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</si>
  <si>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</si>
  <si>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</si>
  <si>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</si>
  <si>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</si>
  <si>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</si>
  <si>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</si>
  <si>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</si>
  <si>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</si>
  <si>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</si>
  <si>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</si>
  <si>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</si>
  <si>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</si>
  <si>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</si>
  <si>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</si>
  <si>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</si>
  <si>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</si>
  <si>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</si>
  <si>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</si>
  <si>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</si>
  <si>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</si>
  <si>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</si>
  <si>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</si>
  <si>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</si>
  <si>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</si>
  <si>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</si>
  <si>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</si>
  <si>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</si>
  <si>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</si>
  <si>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</si>
  <si>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</si>
  <si>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</si>
  <si>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</si>
  <si>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</si>
  <si>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</si>
  <si>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</si>
  <si>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</si>
  <si>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</si>
  <si>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</si>
  <si>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</si>
  <si>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</si>
  <si>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</si>
  <si>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</si>
  <si>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</si>
  <si>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</si>
  <si>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</si>
  <si>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</si>
  <si>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</si>
  <si>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</si>
  <si>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</si>
  <si>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</si>
  <si>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</si>
  <si>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</si>
  <si>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</si>
  <si>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</si>
  <si>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</si>
  <si>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</si>
  <si>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</si>
  <si>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</si>
  <si>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</si>
  <si>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</si>
  <si>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</si>
  <si>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</si>
  <si>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</si>
  <si>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</si>
  <si>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</si>
  <si>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</si>
  <si>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</si>
  <si>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</si>
  <si>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</si>
  <si>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</si>
  <si>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</si>
  <si>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</si>
  <si>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</si>
  <si>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</si>
  <si>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</si>
  <si>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</si>
  <si>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</si>
  <si>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</si>
  <si>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</si>
  <si>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</si>
  <si>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</si>
  <si>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</si>
  <si>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</si>
  <si>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</si>
  <si>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</si>
  <si>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</si>
  <si>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</si>
  <si>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</si>
  <si>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</si>
  <si>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</si>
  <si>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</si>
  <si>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</si>
  <si>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</si>
  <si>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</si>
  <si>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</si>
  <si>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</si>
  <si>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</si>
  <si>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</si>
  <si>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</si>
  <si>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</si>
  <si>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</si>
  <si>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</si>
  <si>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</si>
  <si>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</si>
  <si>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</si>
  <si>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</si>
  <si>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</si>
  <si>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</si>
  <si>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</si>
  <si>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</si>
  <si>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</si>
  <si>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</si>
  <si>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</si>
  <si>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</si>
  <si>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</si>
  <si>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</si>
  <si>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</si>
  <si>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</si>
  <si>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</si>
  <si>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</si>
  <si>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</si>
  <si>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</si>
  <si>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</si>
  <si>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</si>
  <si>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</si>
  <si>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</si>
  <si>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</si>
  <si>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</si>
  <si>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</si>
  <si>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</si>
  <si>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</si>
  <si>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</si>
  <si>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</si>
  <si>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</si>
  <si>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</si>
  <si>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</si>
  <si>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</si>
  <si>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</si>
  <si>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</si>
  <si>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</si>
  <si>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</si>
  <si>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</si>
  <si>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</si>
  <si>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</si>
  <si>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</si>
  <si>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</si>
  <si>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</si>
  <si>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</si>
  <si>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</si>
  <si>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</si>
  <si>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</si>
  <si>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</si>
  <si>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</si>
  <si>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</si>
  <si>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</si>
  <si>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</si>
  <si>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</si>
  <si>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</si>
  <si>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</si>
  <si>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</si>
  <si>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</si>
  <si>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</si>
  <si>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</si>
  <si>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</si>
  <si>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</si>
  <si>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</si>
  <si>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</si>
  <si>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</si>
  <si>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</si>
  <si>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</si>
  <si>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</si>
  <si>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</si>
  <si>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</si>
  <si>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</si>
  <si>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</si>
  <si>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</si>
  <si>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</si>
  <si>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</si>
  <si>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</si>
  <si>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</si>
  <si>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</si>
  <si>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</si>
  <si>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</si>
  <si>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</si>
  <si>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</si>
  <si>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</si>
  <si>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</si>
  <si>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</si>
  <si>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</si>
  <si>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</si>
  <si>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</si>
  <si>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</si>
  <si>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</si>
  <si>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</si>
  <si>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</si>
  <si>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</si>
  <si>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</si>
  <si>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</si>
  <si>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</si>
  <si>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</si>
  <si>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</si>
  <si>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</si>
  <si>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</si>
  <si>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</si>
  <si>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</si>
  <si>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</si>
  <si>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</si>
  <si>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</si>
  <si>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</si>
  <si>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</si>
  <si>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</si>
  <si>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</si>
  <si>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</si>
  <si>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</si>
  <si>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</si>
  <si>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</si>
  <si>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</si>
  <si>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</si>
  <si>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</si>
  <si>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</si>
  <si>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</si>
  <si>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</si>
  <si>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</si>
  <si>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</si>
  <si>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</si>
  <si>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</si>
  <si>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</si>
  <si>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</si>
  <si>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</si>
  <si>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</si>
  <si>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</si>
  <si>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</si>
  <si>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</si>
  <si>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</si>
  <si>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</si>
  <si>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</si>
  <si>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</si>
  <si>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</si>
  <si>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</si>
  <si>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</si>
  <si>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</si>
  <si>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</si>
  <si>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</si>
  <si>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</si>
  <si>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</si>
  <si>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</si>
  <si>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</si>
  <si>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</si>
  <si>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</si>
  <si>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</si>
  <si>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</si>
  <si>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</si>
  <si>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</si>
  <si>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</si>
  <si>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</si>
  <si>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</si>
  <si>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</si>
  <si>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</si>
  <si>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</si>
  <si>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</si>
  <si>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</si>
  <si>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</si>
  <si>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</si>
  <si>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</si>
  <si>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</si>
  <si>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</si>
  <si>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</si>
  <si>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</si>
  <si>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</si>
  <si>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</si>
  <si>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</si>
  <si>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</si>
  <si>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</si>
  <si>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</si>
  <si>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</si>
  <si>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</si>
  <si>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</si>
  <si>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</si>
  <si>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</si>
  <si>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</si>
  <si>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</si>
  <si>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</si>
  <si>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</si>
  <si>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</si>
  <si>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</si>
  <si>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</si>
  <si>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</si>
  <si>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</si>
  <si>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</si>
  <si>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</si>
  <si>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</si>
  <si>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</si>
  <si>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</si>
  <si>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</si>
  <si>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</si>
  <si>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</si>
  <si>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</si>
  <si>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</si>
  <si>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</si>
  <si>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</si>
  <si>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</si>
  <si>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</si>
  <si>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</si>
  <si>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</si>
  <si>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</si>
  <si>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</si>
  <si>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</si>
  <si>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</si>
  <si>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</si>
  <si>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</si>
  <si>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</si>
  <si>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</si>
  <si>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</si>
  <si>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</si>
  <si>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</si>
  <si>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</si>
  <si>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</si>
  <si>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</si>
  <si>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</si>
  <si>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</si>
  <si>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</si>
  <si>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</si>
  <si>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</si>
  <si>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</si>
  <si>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</si>
  <si>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</si>
  <si>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</si>
  <si>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</si>
  <si>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</si>
  <si>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</si>
  <si>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</si>
  <si>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</si>
  <si>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</si>
  <si>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</si>
  <si>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</si>
  <si>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</si>
  <si>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</si>
  <si>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</si>
  <si>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</si>
  <si>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</si>
  <si>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</si>
  <si>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</si>
  <si>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</si>
  <si>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</si>
  <si>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</si>
  <si>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</si>
  <si>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</si>
  <si>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</si>
  <si>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</si>
  <si>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</si>
  <si>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</si>
  <si>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</si>
  <si>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</si>
  <si>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</si>
  <si>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</si>
  <si>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</si>
  <si>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</si>
  <si>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</si>
  <si>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</si>
  <si>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</si>
  <si>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</si>
  <si>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</si>
  <si>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</si>
  <si>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</si>
  <si>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</si>
  <si>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</si>
  <si>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</si>
  <si>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</si>
  <si>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</si>
  <si>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</si>
  <si>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</si>
  <si>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</si>
  <si>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</si>
  <si>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</si>
  <si>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</si>
  <si>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</si>
  <si>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</si>
  <si>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</si>
  <si>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</si>
  <si>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</si>
  <si>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</si>
  <si>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</si>
  <si>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</si>
  <si>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</si>
  <si>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</si>
  <si>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</si>
  <si>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</si>
  <si>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</si>
  <si>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</si>
  <si>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</si>
  <si>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</si>
  <si>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</si>
  <si>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</si>
  <si>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</si>
  <si>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</si>
  <si>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</si>
  <si>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</si>
  <si>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</si>
  <si>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</si>
  <si>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</si>
  <si>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</si>
  <si>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</si>
  <si>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</si>
  <si>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</si>
  <si>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</si>
  <si>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</si>
  <si>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</si>
  <si>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</si>
  <si>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</si>
  <si>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</si>
  <si>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</si>
  <si>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</si>
  <si>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</si>
  <si>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</si>
  <si>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</si>
  <si>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</si>
  <si>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</si>
  <si>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</si>
  <si>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</si>
  <si>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</si>
  <si>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</si>
  <si>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</si>
  <si>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</si>
  <si>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</si>
  <si>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</si>
  <si>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</si>
  <si>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</si>
  <si>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</si>
  <si>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</si>
  <si>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</si>
  <si>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</si>
  <si>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</si>
  <si>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</si>
  <si>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</si>
  <si>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</si>
  <si>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</si>
  <si>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</si>
  <si>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</si>
  <si>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</si>
  <si>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</si>
  <si>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</si>
  <si>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</si>
  <si>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</si>
  <si>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</si>
  <si>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</si>
  <si>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</si>
  <si>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</si>
  <si>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</si>
  <si>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</si>
  <si>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</si>
  <si>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</si>
  <si>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</si>
  <si>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</si>
  <si>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</si>
  <si>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</si>
  <si>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</si>
  <si>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</si>
  <si>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</si>
  <si>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</si>
  <si>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</si>
  <si>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</si>
  <si>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</si>
  <si>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</si>
  <si>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</si>
  <si>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</si>
  <si>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</si>
  <si>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</si>
  <si>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</si>
  <si>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</si>
  <si>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</si>
  <si>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</si>
  <si>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</si>
  <si>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</si>
  <si>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</si>
  <si>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</si>
  <si>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</si>
  <si>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</si>
  <si>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</si>
  <si>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</si>
  <si>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</si>
  <si>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</si>
  <si>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</si>
  <si>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</si>
  <si>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</si>
  <si>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</si>
  <si>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</si>
  <si>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</si>
  <si>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</si>
  <si>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</si>
  <si>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</si>
  <si>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</si>
  <si>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</si>
  <si>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</si>
  <si>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</si>
  <si>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</si>
  <si>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</si>
  <si>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</si>
  <si>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</si>
  <si>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</si>
  <si>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</si>
  <si>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</si>
  <si>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</si>
  <si>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</si>
  <si>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</si>
  <si>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</si>
  <si>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</si>
  <si>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</si>
  <si>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</si>
  <si>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</si>
  <si>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</si>
  <si>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</si>
  <si>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</si>
  <si>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</si>
  <si>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</si>
  <si>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</si>
  <si>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</si>
  <si>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</si>
  <si>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</si>
  <si>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</si>
  <si>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</si>
  <si>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</si>
  <si>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</si>
  <si>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</si>
  <si>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</si>
  <si>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</si>
  <si>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</si>
  <si>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</si>
  <si>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</si>
  <si>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</si>
  <si>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</si>
  <si>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</si>
  <si>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</si>
  <si>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</si>
  <si>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</si>
  <si>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</si>
  <si>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</si>
  <si>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</si>
  <si>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</si>
  <si>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</si>
  <si>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</si>
  <si>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</si>
  <si>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</si>
  <si>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</si>
  <si>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</si>
  <si>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</si>
  <si>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</si>
  <si>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</si>
  <si>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</si>
  <si>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</si>
  <si>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</si>
  <si>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</si>
  <si>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</si>
  <si>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</si>
  <si>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</si>
  <si>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</si>
  <si>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</si>
  <si>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</si>
  <si>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</si>
  <si>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</si>
  <si>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</si>
  <si>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</si>
  <si>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</si>
  <si>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</si>
  <si>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</si>
  <si>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</si>
  <si>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</si>
  <si>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</si>
  <si>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</si>
  <si>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</si>
  <si>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</si>
  <si>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</si>
  <si>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</si>
  <si>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</si>
  <si>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</si>
  <si>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</si>
  <si>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</si>
  <si>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</si>
  <si>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</si>
  <si>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</si>
  <si>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</si>
  <si>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</si>
  <si>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</si>
  <si>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</si>
  <si>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</si>
  <si>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</si>
  <si>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</si>
  <si>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</si>
  <si>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</si>
  <si>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</si>
  <si>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</si>
  <si>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</si>
  <si>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</si>
  <si>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</si>
  <si>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</si>
  <si>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</si>
  <si>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</si>
  <si>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</si>
  <si>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Deputy Minister</t>
  </si>
  <si>
    <t>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</si>
</sst>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10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1.7272533073805007E-2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0.98266832550468486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5.914142151019631E-5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7.0000000000000021E-2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6.7000000000000018E-2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1.4999112878677348E-2</v>
      </c>
      <c r="AB3">
        <f>SUMIFS(PERSALDATA!$G$2:$G$20871,PERSALDATA!$A$2:$A$20871,WORKING!A3,PERSALDATA!$D$2:$D$20871,WORKING!B3,PERSALDATA!$E$2:$E$20871,WORKING!C3,PERSALDATA!$F$2:$F$20871,"S&amp;W: BASIC SALARY (RES)")</f>
        <v>1</v>
      </c>
      <c r="AC3" s="2">
        <f>SUMIFS(PERSALDATA!$H$2:$H$20871,PERSALDATA!$A$2:$A$20871,WORKING!A3,PERSALDATA!$D$2:$D$20871,WORKING!B3,PERSALDATA!$E$2:$E$20871,WORKING!C3)</f>
        <v>676344.91999999993</v>
      </c>
    </row>
    <row r="4" spans="1:29" x14ac:dyDescent="0.25">
      <c r="A4" s="2">
        <f>Results!$D$3</f>
        <v>10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0.62080873088943012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3.9523687950384578E-2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6.0797415302963412E-2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6.1599956168921942E-3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0.13195174334958876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5.8346384174679258E-2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1.8099873768383151E-2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5.0885151554770462E-4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6.3803317432130857E-2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0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7.3226720843869039E-2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7.1371301997214212E-2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7.0371301997214211E-2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6.8371301997214209E-2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1.2101129847478501E-2</v>
      </c>
      <c r="AB4" s="2">
        <f>SUMIFS(PERSALDATA!$G$2:$G$20871,PERSALDATA!$A$2:$A$20871,WORKING!A4,PERSALDATA!$D$2:$D$20871,WORKING!B4,PERSALDATA!$E$2:$E$20871,WORKING!C4,PERSALDATA!$F$2:$F$20871,"S&amp;W: BASIC SALARY (RES)")</f>
        <v>19</v>
      </c>
      <c r="AC4" s="2">
        <f>SUMIFS(PERSALDATA!$H$2:$H$20871,PERSALDATA!$A$2:$A$20871,WORKING!A4,PERSALDATA!$D$2:$D$20871,WORKING!B4,PERSALDATA!$E$2:$E$20871,WORKING!C4)</f>
        <v>2669521.38</v>
      </c>
    </row>
    <row r="5" spans="1:29" x14ac:dyDescent="0.25">
      <c r="A5" s="2">
        <f>Results!$D$3</f>
        <v>10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0.71597586593432305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9.4309607964691185E-3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1.4299364958846903E-2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3.1045510143985384E-3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1.2888494282907342E-2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1.4657632899860265E-2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5.2100530636723071E-3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5.4959344416273266E-4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0.22388348360535967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7.5093687183088328E-2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7.0050333764655137E-2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6.9050333764655136E-2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6.7050333764655135E-2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1.4583938209711243E-2</v>
      </c>
      <c r="AB5" s="2">
        <f>SUMIFS(PERSALDATA!$G$2:$G$20871,PERSALDATA!$A$2:$A$20871,WORKING!A5,PERSALDATA!$D$2:$D$20871,WORKING!B5,PERSALDATA!$E$2:$E$20871,WORKING!C5,PERSALDATA!$F$2:$F$20871,"S&amp;W: BASIC SALARY (RES)")</f>
        <v>5</v>
      </c>
      <c r="AC5" s="2">
        <f>SUMIFS(PERSALDATA!$H$2:$H$20871,PERSALDATA!$A$2:$A$20871,WORKING!A5,PERSALDATA!$D$2:$D$20871,WORKING!B5,PERSALDATA!$E$2:$E$20871,WORKING!C5)</f>
        <v>944097.87000000011</v>
      </c>
    </row>
    <row r="6" spans="1:29" x14ac:dyDescent="0.25">
      <c r="A6" s="2">
        <f>Results!$D$3</f>
        <v>10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0.6457426661816511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3.1727671379904197E-2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5.4609890327370764E-2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5.8749025339407381E-2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7.4104765666821851E-2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6.6303574108482408E-2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2.6893588679104533E-3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3.962377673370386E-4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4.9764372344053467E-2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1.5912438017061558E-2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7.2887115054455359E-2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7.0565472581728655E-2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6.9565472581728627E-2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6.7565472581728639E-2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1.3063336593577059E-2</v>
      </c>
      <c r="AB6" s="2">
        <f>SUMIFS(PERSALDATA!$G$2:$G$20871,PERSALDATA!$A$2:$A$20871,WORKING!A6,PERSALDATA!$D$2:$D$20871,WORKING!B6,PERSALDATA!$E$2:$E$20871,WORKING!C6,PERSALDATA!$F$2:$F$20871,"S&amp;W: BASIC SALARY (RES)")</f>
        <v>15</v>
      </c>
      <c r="AC6" s="2">
        <f>SUMIFS(PERSALDATA!$H$2:$H$20871,PERSALDATA!$A$2:$A$20871,WORKING!A6,PERSALDATA!$D$2:$D$20871,WORKING!B6,PERSALDATA!$E$2:$E$20871,WORKING!C6)</f>
        <v>2104014.4799999995</v>
      </c>
    </row>
    <row r="7" spans="1:29" x14ac:dyDescent="0.25">
      <c r="A7" s="2">
        <f>Results!$D$3</f>
        <v>10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0.69840941017831248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4.3891848843878832E-2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5.2481208022679499E-2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2.928608331892495E-2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5.0075183889030775E-2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7.7847956268984067E-2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6.2255377163075182E-3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3.440198993446235E-4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3.947559663002749E-2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1.9631552325097704E-3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7.2712480764722781E-2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7.0226315678108678E-2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6.9226315678108677E-2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6.7226315678108675E-2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1.3456493822834177E-2</v>
      </c>
      <c r="AB7" s="2">
        <f>SUMIFS(PERSALDATA!$G$2:$G$20871,PERSALDATA!$A$2:$A$20871,WORKING!A7,PERSALDATA!$D$2:$D$20871,WORKING!B7,PERSALDATA!$E$2:$E$20871,WORKING!C7,PERSALDATA!$F$2:$F$20871,"S&amp;W: BASIC SALARY (RES)")</f>
        <v>51</v>
      </c>
      <c r="AC7" s="2">
        <f>SUMIFS(PERSALDATA!$H$2:$H$20871,PERSALDATA!$A$2:$A$20871,WORKING!A7,PERSALDATA!$D$2:$D$20871,WORKING!B7,PERSALDATA!$E$2:$E$20871,WORKING!C7)</f>
        <v>9048953.2899999991</v>
      </c>
    </row>
    <row r="8" spans="1:29" x14ac:dyDescent="0.25">
      <c r="A8" s="2">
        <f>Results!$D$3</f>
        <v>10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0.69044955124922924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5.6563946314263723E-2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4.5948212741251243E-2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3.2142147816628781E-2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5.1819360300430092E-2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8.3283640587451094E-2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1.5309594625897037E-2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2.9007238872691773E-4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2.0820803634085349E-2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2.9684411348116983E-3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4.0422920722477562E-4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7.3233406875870932E-2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7.0317808277093941E-2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6.9317808277093954E-2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6.7317808277093952E-2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1.3529135318543875E-2</v>
      </c>
      <c r="AB8" s="2">
        <f>SUMIFS(PERSALDATA!$G$2:$G$20871,PERSALDATA!$A$2:$A$20871,WORKING!A8,PERSALDATA!$D$2:$D$20871,WORKING!B8,PERSALDATA!$E$2:$E$20871,WORKING!C8,PERSALDATA!$F$2:$F$20871,"S&amp;W: BASIC SALARY (RES)")</f>
        <v>25</v>
      </c>
      <c r="AC8" s="2">
        <f>SUMIFS(PERSALDATA!$H$2:$H$20871,PERSALDATA!$A$2:$A$20871,WORKING!A8,PERSALDATA!$D$2:$D$20871,WORKING!B8,PERSALDATA!$E$2:$E$20871,WORKING!C8)</f>
        <v>6431153.3000000007</v>
      </c>
    </row>
    <row r="9" spans="1:29" x14ac:dyDescent="0.25">
      <c r="A9" s="2">
        <f>Results!$D$3</f>
        <v>10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0.68213020575481487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4.9503429399528454E-2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3.659841807547131E-2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3.7820599945402197E-2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4.7901871990622902E-2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8.1283399887290761E-2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1.6676849017103184E-2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2.3075465059296051E-4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2.1322313694390319E-2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2.3806062826294824E-2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1.4142822106823975E-3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1.3118125478060378E-3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7.3889146434132927E-2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7.0352543899104641E-2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6.9352543899104654E-2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6.7352543899104667E-2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1.3729034329249695E-2</v>
      </c>
      <c r="AB9" s="2">
        <f>SUMIFS(PERSALDATA!$G$2:$G$20871,PERSALDATA!$A$2:$A$20871,WORKING!A9,PERSALDATA!$D$2:$D$20871,WORKING!B9,PERSALDATA!$E$2:$E$20871,WORKING!C9,PERSALDATA!$F$2:$F$20871,"S&amp;W: BASIC SALARY (RES)")</f>
        <v>22</v>
      </c>
      <c r="AC9" s="2">
        <f>SUMIFS(PERSALDATA!$H$2:$H$20871,PERSALDATA!$A$2:$A$20871,WORKING!A9,PERSALDATA!$D$2:$D$20871,WORKING!B9,PERSALDATA!$E$2:$E$20871,WORKING!C9)</f>
        <v>6770784.4499999983</v>
      </c>
    </row>
    <row r="10" spans="1:29" x14ac:dyDescent="0.25">
      <c r="A10" s="2">
        <f>Results!$D$3</f>
        <v>10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0.72725831439655697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5.3214213897554465E-2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2.8102990548675481E-2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2.4357852065716994E-2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4.3089735389739973E-2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9.1212471274308579E-2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1.9922857970463521E-2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1.952502592057977E-4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9.4793377142465638E-3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1.0114431324664964E-3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2.1555333510650744E-3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7.4467429013757025E-2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7.0365316125359345E-2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6.9365316125359344E-2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6.7365316125359356E-2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1.392918035703568E-2</v>
      </c>
      <c r="AB10" s="2">
        <f>SUMIFS(PERSALDATA!$G$2:$G$20871,PERSALDATA!$A$2:$A$20871,WORKING!A10,PERSALDATA!$D$2:$D$20871,WORKING!B10,PERSALDATA!$E$2:$E$20871,WORKING!C10,PERSALDATA!$F$2:$F$20871,"S&amp;W: BASIC SALARY (RES)")</f>
        <v>13</v>
      </c>
      <c r="AC10" s="2">
        <f>SUMIFS(PERSALDATA!$H$2:$H$20871,PERSALDATA!$A$2:$A$20871,WORKING!A10,PERSALDATA!$D$2:$D$20871,WORKING!B10,PERSALDATA!$E$2:$E$20871,WORKING!C10)</f>
        <v>4120557.91</v>
      </c>
    </row>
    <row r="11" spans="1:29" x14ac:dyDescent="0.25">
      <c r="A11" s="2">
        <f>Results!$D$3</f>
        <v>10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0.72263200763073698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4.4185499975646865E-2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2.2365479127421279E-2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1.3466756277842173E-2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4.3269489877378303E-2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8.0933987362887289E-2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9.8643331303200649E-3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1.6825641092144811E-4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3.726098871903228E-2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2.4815321730186645E-2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1.0378797576267283E-3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7.490599644459929E-2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7.0425387556886473E-2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6.9425387556886473E-2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6.7425387556886485E-2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1.4012951618764183E-2</v>
      </c>
      <c r="AB11" s="2">
        <f>SUMIFS(PERSALDATA!$G$2:$G$20871,PERSALDATA!$A$2:$A$20871,WORKING!A11,PERSALDATA!$D$2:$D$20871,WORKING!B11,PERSALDATA!$E$2:$E$20871,WORKING!C11,PERSALDATA!$F$2:$F$20871,"S&amp;W: BASIC SALARY (RES)")</f>
        <v>21</v>
      </c>
      <c r="AC11" s="2">
        <f>SUMIFS(PERSALDATA!$H$2:$H$20871,PERSALDATA!$A$2:$A$20871,WORKING!A11,PERSALDATA!$D$2:$D$20871,WORKING!B11,PERSALDATA!$E$2:$E$20871,WORKING!C11)</f>
        <v>8557831.4199999999</v>
      </c>
    </row>
    <row r="12" spans="1:29" x14ac:dyDescent="0.25">
      <c r="A12" s="2">
        <f>Results!$D$3</f>
        <v>10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0.73325047638473362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5.7078575557591077E-2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1.7012172955897877E-2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7.4743025772792421E-3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3.4917089972484515E-2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8.7467463999766543E-2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1.8499595166464194E-2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1.3100426561363712E-4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2.3888823325406136E-2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1.7161685201625147E-2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3.1188105931377486E-3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7.5195914114966525E-2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7.0353634620028277E-2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6.9353634620028276E-2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6.735363462002826E-2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1.4219095992090054E-2</v>
      </c>
      <c r="AB12" s="2">
        <f>SUMIFS(PERSALDATA!$G$2:$G$20871,PERSALDATA!$A$2:$A$20871,WORKING!A12,PERSALDATA!$D$2:$D$20871,WORKING!B12,PERSALDATA!$E$2:$E$20871,WORKING!C12,PERSALDATA!$F$2:$F$20871,"S&amp;W: BASIC SALARY (RES)")</f>
        <v>11</v>
      </c>
      <c r="AC12" s="2">
        <f>SUMIFS(PERSALDATA!$H$2:$H$20871,PERSALDATA!$A$2:$A$20871,WORKING!A12,PERSALDATA!$D$2:$D$20871,WORKING!B12,PERSALDATA!$E$2:$E$20871,WORKING!C12)</f>
        <v>5695921.4000000013</v>
      </c>
    </row>
    <row r="13" spans="1:29" x14ac:dyDescent="0.25">
      <c r="A13" s="2">
        <f>Results!$D$3</f>
        <v>10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0.69577535312758421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4.4788800063129547E-2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6.0642892798516857E-3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5.3161928978382152E-3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1.4966026517782E-2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8.4529782087489402E-2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1.8613830245491635E-2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1.1101895136085358E-4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0.11462074091882049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1.5213965910651907E-2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1.4682879978765082E-2</v>
      </c>
      <c r="AB13" s="2">
        <f>SUMIFS(PERSALDATA!$G$2:$G$20871,PERSALDATA!$A$2:$A$20871,WORKING!A13,PERSALDATA!$D$2:$D$20871,WORKING!B13,PERSALDATA!$E$2:$E$20871,WORKING!C13,PERSALDATA!$F$2:$F$20871,"S&amp;W: BASIC SALARY (RES)")</f>
        <v>19</v>
      </c>
      <c r="AC13" s="2">
        <f>SUMIFS(PERSALDATA!$H$2:$H$20871,PERSALDATA!$A$2:$A$20871,WORKING!A13,PERSALDATA!$D$2:$D$20871,WORKING!B13,PERSALDATA!$E$2:$E$20871,WORKING!C13)</f>
        <v>11710523.15</v>
      </c>
    </row>
    <row r="14" spans="1:29" x14ac:dyDescent="0.25">
      <c r="A14" s="2">
        <f>Results!$D$3</f>
        <v>10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0.68991922978822551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4.6041008134690059E-2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8.3879867265132455E-3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3.2894834111011563E-3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1.8018375544480551E-2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8.8840021715224246E-2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1.3669987920049096E-2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9.2626052354094086E-5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0.10820658866811537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2.0035889742699448E-2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3.4988022965473089E-3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1.4602515175149782E-2</v>
      </c>
      <c r="AB14" s="2">
        <f>SUMIFS(PERSALDATA!$G$2:$G$20871,PERSALDATA!$A$2:$A$20871,WORKING!A14,PERSALDATA!$D$2:$D$20871,WORKING!B14,PERSALDATA!$E$2:$E$20871,WORKING!C14,PERSALDATA!$F$2:$F$20871,"S&amp;W: BASIC SALARY (RES)")</f>
        <v>11</v>
      </c>
      <c r="AC14" s="2">
        <f>SUMIFS(PERSALDATA!$H$2:$H$20871,PERSALDATA!$A$2:$A$20871,WORKING!A14,PERSALDATA!$D$2:$D$20871,WORKING!B14,PERSALDATA!$E$2:$E$20871,WORKING!C14)</f>
        <v>7615891.8799999999</v>
      </c>
    </row>
    <row r="15" spans="1:29" x14ac:dyDescent="0.25">
      <c r="A15" s="2">
        <f>Results!$D$3</f>
        <v>10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0.65265058899389805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3.8775887749171921E-2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2.8157319102082457E-3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1.3054624781469539E-2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8.1666376837795887E-2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1.115822877417922E-2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7.4121150716680337E-5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0.18053041514873361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1.8533578276559076E-2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7.4044637726793897E-4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1.4760832832364082E-2</v>
      </c>
      <c r="AB15" s="2">
        <f>SUMIFS(PERSALDATA!$G$2:$G$20871,PERSALDATA!$A$2:$A$20871,WORKING!A15,PERSALDATA!$D$2:$D$20871,WORKING!B15,PERSALDATA!$E$2:$E$20871,WORKING!C15,PERSALDATA!$F$2:$F$20871,"S&amp;W: BASIC SALARY (RES)")</f>
        <v>21</v>
      </c>
      <c r="AC15" s="2">
        <f>SUMIFS(PERSALDATA!$H$2:$H$20871,PERSALDATA!$A$2:$A$20871,WORKING!A15,PERSALDATA!$D$2:$D$20871,WORKING!B15,PERSALDATA!$E$2:$E$20871,WORKING!C15)</f>
        <v>18558940.149999999</v>
      </c>
    </row>
    <row r="16" spans="1:29" x14ac:dyDescent="0.25">
      <c r="A16" s="2">
        <f>Results!$D$3</f>
        <v>10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0.59290945502667525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5.4231310079295367E-2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3.5915658321336509E-2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1.2992104816139731E-2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7.7078094711612283E-2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6.1633209870826471E-5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0.19615309034440803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3.0658653490661898E-2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1.4265459054789794E-2</v>
      </c>
      <c r="AB16" s="2">
        <f>SUMIFS(PERSALDATA!$G$2:$G$20871,PERSALDATA!$A$2:$A$20871,WORKING!A16,PERSALDATA!$D$2:$D$20871,WORKING!B16,PERSALDATA!$E$2:$E$20871,WORKING!C16,PERSALDATA!$F$2:$F$20871,"S&amp;W: BASIC SALARY (RES)")</f>
        <v>4</v>
      </c>
      <c r="AC16" s="2">
        <f>SUMIFS(PERSALDATA!$H$2:$H$20871,PERSALDATA!$A$2:$A$20871,WORKING!A16,PERSALDATA!$D$2:$D$20871,WORKING!B16,PERSALDATA!$E$2:$E$20871,WORKING!C16)</f>
        <v>7188981.4100000001</v>
      </c>
    </row>
    <row r="17" spans="1:29" x14ac:dyDescent="0.25">
      <c r="A17" s="2">
        <f>Results!$D$3</f>
        <v>10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0.73913361555352097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5.6374136875601217E-3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9.6087273499560075E-2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5.2023936364820743E-5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0.15908967332299398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1.4999219640954527E-2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672382.8</v>
      </c>
    </row>
    <row r="18" spans="1:29" x14ac:dyDescent="0.25">
      <c r="A18" s="2">
        <f>Results!$D$3</f>
        <v>10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0.63760168005939766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3.0869024974439403E-2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4.6191776556979858E-3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9.350073774912987E-2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1.9164323251026188E-5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0.23339021523808409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1.4930424870315765E-2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6079004.1200000001</v>
      </c>
    </row>
    <row r="19" spans="1:29" x14ac:dyDescent="0.25">
      <c r="A19" s="2">
        <f>Results!$D$3</f>
        <v>10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10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0.17664487866702946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0.49434889732798931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0.3290062240049812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2</v>
      </c>
      <c r="AC20" s="2">
        <f>SUMIFS(PERSALDATA!$H$2:$H$20871,PERSALDATA!$A$2:$A$20871,WORKING!A20,PERSALDATA!$D$2:$D$20871,WORKING!B20,PERSALDATA!$E$2:$E$20871,WORKING!C20)</f>
        <v>224331.44</v>
      </c>
    </row>
    <row r="21" spans="1:29" x14ac:dyDescent="0.25">
      <c r="A21" s="2">
        <f>Results!$D$3</f>
        <v>10</v>
      </c>
      <c r="B21" s="2">
        <v>2</v>
      </c>
      <c r="C21" s="2">
        <v>2</v>
      </c>
      <c r="D21" s="62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>0.72992852125723207</v>
      </c>
      <c r="E21" s="62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>0</v>
      </c>
      <c r="F21" s="62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>0</v>
      </c>
      <c r="G21" s="69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>0</v>
      </c>
      <c r="H21" s="62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>0</v>
      </c>
      <c r="I21" s="62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>0</v>
      </c>
      <c r="J21" s="62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>0</v>
      </c>
      <c r="K21" s="62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>6.5362884532484393E-4</v>
      </c>
      <c r="L21" s="62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>0</v>
      </c>
      <c r="M21" s="62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>0.26941784989744311</v>
      </c>
      <c r="N21" s="62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>0</v>
      </c>
      <c r="O21" s="62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>0</v>
      </c>
      <c r="P21" s="62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>0</v>
      </c>
      <c r="Q21" s="62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>0</v>
      </c>
      <c r="R21" s="62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>0</v>
      </c>
      <c r="S21" s="62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>0</v>
      </c>
      <c r="T21" s="62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>0</v>
      </c>
      <c r="U21" s="62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>0</v>
      </c>
      <c r="V21" s="62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>0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7.5999999999999998E-2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7.0000000000000007E-2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6.9000000000000006E-2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6.7000000000000004E-2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1.4990195567320126E-2</v>
      </c>
      <c r="AB21" s="2">
        <f>SUMIFS(PERSALDATA!$G$2:$G$20871,PERSALDATA!$A$2:$A$20871,WORKING!A21,PERSALDATA!$D$2:$D$20871,WORKING!B21,PERSALDATA!$E$2:$E$20871,WORKING!C21,PERSALDATA!$F$2:$F$20871,"S&amp;W: BASIC SALARY (RES)")</f>
        <v>1</v>
      </c>
      <c r="AC21" s="2">
        <f>SUMIFS(PERSALDATA!$H$2:$H$20871,PERSALDATA!$A$2:$A$20871,WORKING!A21,PERSALDATA!$D$2:$D$20871,WORKING!B21,PERSALDATA!$E$2:$E$20871,WORKING!C21)</f>
        <v>107033.22</v>
      </c>
    </row>
    <row r="22" spans="1:29" x14ac:dyDescent="0.25">
      <c r="A22" s="2">
        <f>Results!$D$3</f>
        <v>10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10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0.72956085337241927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0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5.0217481477019888E-4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0.26993697181281062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7.5999999999999998E-2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7.0000000000000021E-2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6.9000000000000006E-2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6.7000000000000004E-2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1.4992467377778446E-2</v>
      </c>
      <c r="AB23" s="2">
        <f>SUMIFS(PERSALDATA!$G$2:$G$20871,PERSALDATA!$A$2:$A$20871,WORKING!A23,PERSALDATA!$D$2:$D$20871,WORKING!B23,PERSALDATA!$E$2:$E$20871,WORKING!C23,PERSALDATA!$F$2:$F$20871,"S&amp;W: BASIC SALARY (RES)")</f>
        <v>2</v>
      </c>
      <c r="AC23" s="2">
        <f>SUMIFS(PERSALDATA!$H$2:$H$20871,PERSALDATA!$A$2:$A$20871,WORKING!A23,PERSALDATA!$D$2:$D$20871,WORKING!B23,PERSALDATA!$E$2:$E$20871,WORKING!C23)</f>
        <v>313456.57999999996</v>
      </c>
    </row>
    <row r="24" spans="1:29" x14ac:dyDescent="0.25">
      <c r="A24" s="2">
        <f>Results!$D$3</f>
        <v>10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0.72715184383180931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2.3533899701856556E-2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1.8093292915288162E-2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2.2026651080248455E-2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3.281611464751652E-2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3.9645961578567743E-4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0.17406415844553316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1.9175797619621641E-3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7.4933282853561572E-2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7.0149466837050853E-2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6.9149466837050852E-2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6.714946683705085E-2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1.4392253945830163E-2</v>
      </c>
      <c r="AB24" s="2">
        <f>SUMIFS(PERSALDATA!$G$2:$G$20871,PERSALDATA!$A$2:$A$20871,WORKING!A24,PERSALDATA!$D$2:$D$20871,WORKING!B24,PERSALDATA!$E$2:$E$20871,WORKING!C24,PERSALDATA!$F$2:$F$20871,"S&amp;W: BASIC SALARY (RES)")</f>
        <v>3</v>
      </c>
      <c r="AC24" s="2">
        <f>SUMIFS(PERSALDATA!$H$2:$H$20871,PERSALDATA!$A$2:$A$20871,WORKING!A24,PERSALDATA!$D$2:$D$20871,WORKING!B24,PERSALDATA!$E$2:$E$20871,WORKING!C24)</f>
        <v>646648.46</v>
      </c>
    </row>
    <row r="25" spans="1:29" x14ac:dyDescent="0.25">
      <c r="A25" s="2">
        <f>Results!$D$3</f>
        <v>10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0.72406604105408179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4.9364202524330096E-2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3.7616819302135535E-2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1.1948427649071355E-3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6.3968377616132222E-2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8.4619744189698101E-2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7.8698548496957538E-3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3.1160806994857824E-4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2.7061354805205641E-2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-6.3722480785038341E-4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4.5643796317154078E-3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7.4036679019663543E-2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7.0583357471220631E-2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6.9583357471220617E-2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6.7583357471220629E-2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1.347154792517675E-2</v>
      </c>
      <c r="AB25" s="2">
        <f>SUMIFS(PERSALDATA!$G$2:$G$20871,PERSALDATA!$A$2:$A$20871,WORKING!A25,PERSALDATA!$D$2:$D$20871,WORKING!B25,PERSALDATA!$E$2:$E$20871,WORKING!C25,PERSALDATA!$F$2:$F$20871,"S&amp;W: BASIC SALARY (RES)")</f>
        <v>9</v>
      </c>
      <c r="AC25" s="2">
        <f>SUMIFS(PERSALDATA!$H$2:$H$20871,PERSALDATA!$A$2:$A$20871,WORKING!A25,PERSALDATA!$D$2:$D$20871,WORKING!B25,PERSALDATA!$E$2:$E$20871,WORKING!C25)</f>
        <v>1945938.0500000003</v>
      </c>
    </row>
    <row r="26" spans="1:29" x14ac:dyDescent="0.25">
      <c r="A26" s="2">
        <f>Results!$D$3</f>
        <v>10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0.75332669424529308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4.4644544899449877E-2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2.3257393781708734E-2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2.9977729402982704E-2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7.4214678621580266E-2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6.8898058112737406E-3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2.5279604461372559E-4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6.7436357193098012E-2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7.4652126284231915E-2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7.0217092003227663E-2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6.9217092003227662E-2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6.721709200322766E-2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1.4197681211560424E-2</v>
      </c>
      <c r="AB26" s="2">
        <f>SUMIFS(PERSALDATA!$G$2:$G$20871,PERSALDATA!$A$2:$A$20871,WORKING!A26,PERSALDATA!$D$2:$D$20871,WORKING!B26,PERSALDATA!$E$2:$E$20871,WORKING!C26,PERSALDATA!$F$2:$F$20871,"S&amp;W: BASIC SALARY (RES)")</f>
        <v>5</v>
      </c>
      <c r="AC26" s="2">
        <f>SUMIFS(PERSALDATA!$H$2:$H$20871,PERSALDATA!$A$2:$A$20871,WORKING!A26,PERSALDATA!$D$2:$D$20871,WORKING!B26,PERSALDATA!$E$2:$E$20871,WORKING!C26)</f>
        <v>1522096.5999999999</v>
      </c>
    </row>
    <row r="27" spans="1:29" x14ac:dyDescent="0.25">
      <c r="A27" s="2">
        <f>Results!$D$3</f>
        <v>10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0.69909611635392332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5.8183364906880086E-2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3.5343858056763745E-2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6.5808824765997129E-2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9.0881946531775559E-2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3.2304960764990016E-2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1.8875239004970934E-4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1.8192176229620466E-2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7.4235190334409923E-2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7.0633693790922311E-2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6.9633693790922324E-2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6.7633693790922322E-2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1.3479878471807843E-2</v>
      </c>
      <c r="AB27" s="2">
        <f>SUMIFS(PERSALDATA!$G$2:$G$20871,PERSALDATA!$A$2:$A$20871,WORKING!A27,PERSALDATA!$D$2:$D$20871,WORKING!B27,PERSALDATA!$E$2:$E$20871,WORKING!C27,PERSALDATA!$F$2:$F$20871,"S&amp;W: BASIC SALARY (RES)")</f>
        <v>3</v>
      </c>
      <c r="AC27" s="2">
        <f>SUMIFS(PERSALDATA!$H$2:$H$20871,PERSALDATA!$A$2:$A$20871,WORKING!A27,PERSALDATA!$D$2:$D$20871,WORKING!B27,PERSALDATA!$E$2:$E$20871,WORKING!C27)</f>
        <v>1111932.94</v>
      </c>
    </row>
    <row r="28" spans="1:29" x14ac:dyDescent="0.25">
      <c r="A28" s="2">
        <f>Results!$D$3</f>
        <v>10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0.70060474679852669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6.351517620256919E-2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2.7040749785910062E-2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7.5972250214467922E-3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4.8556933483425824E-2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8.8971879313344868E-2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1.6076779196288391E-2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1.5777796626529806E-4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5.9947866105399114E-3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4.1483945621682908E-2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7.4624700085038798E-2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7.0457946504392285E-2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6.9457946504392298E-2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6.7457946504392269E-2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1.3863668081465982E-2</v>
      </c>
      <c r="AB28" s="2">
        <f>SUMIFS(PERSALDATA!$G$2:$G$20871,PERSALDATA!$A$2:$A$20871,WORKING!A28,PERSALDATA!$D$2:$D$20871,WORKING!B28,PERSALDATA!$E$2:$E$20871,WORKING!C28,PERSALDATA!$F$2:$F$20871,"S&amp;W: BASIC SALARY (RES)")</f>
        <v>10</v>
      </c>
      <c r="AC28" s="2">
        <f>SUMIFS(PERSALDATA!$H$2:$H$20871,PERSALDATA!$A$2:$A$20871,WORKING!A28,PERSALDATA!$D$2:$D$20871,WORKING!B28,PERSALDATA!$E$2:$E$20871,WORKING!C28)</f>
        <v>4471029.87</v>
      </c>
    </row>
    <row r="29" spans="1:29" x14ac:dyDescent="0.25">
      <c r="A29" s="2">
        <f>Results!$D$3</f>
        <v>10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0.76435191232665778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4.9484463546508185E-2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2.0706973924755869E-2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1.0319114116067563E-2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2.317062905873123E-2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8.5912004081852192E-2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1.1283328696237209E-2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1.3200604576441368E-4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3.4639568203425543E-2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7.4750658788540772E-2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7.0140489696633404E-2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6.9140489696633403E-2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6.7140489696633415E-2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1.4339855864561227E-2</v>
      </c>
      <c r="AB29" s="2">
        <f>SUMIFS(PERSALDATA!$G$2:$G$20871,PERSALDATA!$A$2:$A$20871,WORKING!A29,PERSALDATA!$D$2:$D$20871,WORKING!B29,PERSALDATA!$E$2:$E$20871,WORKING!C29,PERSALDATA!$F$2:$F$20871,"S&amp;W: BASIC SALARY (RES)")</f>
        <v>6</v>
      </c>
      <c r="AC29" s="2">
        <f>SUMIFS(PERSALDATA!$H$2:$H$20871,PERSALDATA!$A$2:$A$20871,WORKING!A29,PERSALDATA!$D$2:$D$20871,WORKING!B29,PERSALDATA!$E$2:$E$20871,WORKING!C29)</f>
        <v>2738207.92</v>
      </c>
    </row>
    <row r="30" spans="1:29" x14ac:dyDescent="0.25">
      <c r="A30" s="2">
        <f>Results!$D$3</f>
        <v>10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0.71913839326257734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4.7131610652020622E-2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8.7444483683421486E-3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1.6422906840353062E-2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7.8094119995567812E-2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9.4097759684820086E-3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1.1409839511473485E-4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0.12094464651754216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1.462077819594285E-2</v>
      </c>
      <c r="AB30" s="2">
        <f>SUMIFS(PERSALDATA!$G$2:$G$20871,PERSALDATA!$A$2:$A$20871,WORKING!A30,PERSALDATA!$D$2:$D$20871,WORKING!B30,PERSALDATA!$E$2:$E$20871,WORKING!C30,PERSALDATA!$F$2:$F$20871,"S&amp;W: BASIC SALARY (RES)")</f>
        <v>8</v>
      </c>
      <c r="AC30" s="2">
        <f>SUMIFS(PERSALDATA!$H$2:$H$20871,PERSALDATA!$A$2:$A$20871,WORKING!A30,PERSALDATA!$D$2:$D$20871,WORKING!B30,PERSALDATA!$E$2:$E$20871,WORKING!C30)</f>
        <v>4803047.4000000004</v>
      </c>
    </row>
    <row r="31" spans="1:29" x14ac:dyDescent="0.25">
      <c r="A31" s="2">
        <f>Results!$D$3</f>
        <v>10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0.72021559080215292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4.8862193692482229E-2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2.8174525450831256E-3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2.0792040767005056E-3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1.3801255381404783E-2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9.3627765273226152E-2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1.9331914776562008E-2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9.2284315334788784E-5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9.6192686311536477E-2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9.4198568682293468E-4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2.0376671386939803E-3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1.4749335116372657E-2</v>
      </c>
      <c r="AB31" s="2">
        <f>SUMIFS(PERSALDATA!$G$2:$G$20871,PERSALDATA!$A$2:$A$20871,WORKING!A31,PERSALDATA!$D$2:$D$20871,WORKING!B31,PERSALDATA!$E$2:$E$20871,WORKING!C31,PERSALDATA!$F$2:$F$20871,"S&amp;W: BASIC SALARY (RES)")</f>
        <v>25</v>
      </c>
      <c r="AC31" s="2">
        <f>SUMIFS(PERSALDATA!$H$2:$H$20871,PERSALDATA!$A$2:$A$20871,WORKING!A31,PERSALDATA!$D$2:$D$20871,WORKING!B31,PERSALDATA!$E$2:$E$20871,WORKING!C31)</f>
        <v>20342134.989999998</v>
      </c>
    </row>
    <row r="32" spans="1:29" x14ac:dyDescent="0.25">
      <c r="A32" s="2">
        <f>Results!$D$3</f>
        <v>10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0.64773468873570883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3.8457533832519424E-2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4.0145008042586083E-3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1.6008628734295701E-2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7.2793724409290828E-2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5.9396358656570803E-3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7.478457346920201E-5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0.2009119479096006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1.4064555135199807E-2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1.4698531288319648E-2</v>
      </c>
      <c r="AB32" s="2">
        <f>SUMIFS(PERSALDATA!$G$2:$G$20871,PERSALDATA!$A$2:$A$20871,WORKING!A32,PERSALDATA!$D$2:$D$20871,WORKING!B32,PERSALDATA!$E$2:$E$20871,WORKING!C32,PERSALDATA!$F$2:$F$20871,"S&amp;W: BASIC SALARY (RES)")</f>
        <v>19</v>
      </c>
      <c r="AC32" s="2">
        <f>SUMIFS(PERSALDATA!$H$2:$H$20871,PERSALDATA!$A$2:$A$20871,WORKING!A32,PERSALDATA!$D$2:$D$20871,WORKING!B32,PERSALDATA!$E$2:$E$20871,WORKING!C32)</f>
        <v>17306510.420000002</v>
      </c>
    </row>
    <row r="33" spans="1:29" x14ac:dyDescent="0.25">
      <c r="A33" s="2">
        <f>Results!$D$3</f>
        <v>10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0.63614042887786182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3.554491185978112E-2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7.5075698953278938E-3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6.9648076941832171E-2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6.2930391343933586E-5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0.24649671988519445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3.8163777363619714E-4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4.2177243750223812E-3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1.4886442495699922E-2</v>
      </c>
      <c r="AB33" s="2">
        <f>SUMIFS(PERSALDATA!$G$2:$G$20871,PERSALDATA!$A$2:$A$20871,WORKING!A33,PERSALDATA!$D$2:$D$20871,WORKING!B33,PERSALDATA!$E$2:$E$20871,WORKING!C33,PERSALDATA!$F$2:$F$20871,"S&amp;W: BASIC SALARY (RES)")</f>
        <v>11</v>
      </c>
      <c r="AC33" s="2">
        <f>SUMIFS(PERSALDATA!$H$2:$H$20871,PERSALDATA!$A$2:$A$20871,WORKING!A33,PERSALDATA!$D$2:$D$20871,WORKING!B33,PERSALDATA!$E$2:$E$20871,WORKING!C33)</f>
        <v>9537839.9399999995</v>
      </c>
    </row>
    <row r="34" spans="1:29" x14ac:dyDescent="0.25">
      <c r="A34" s="2">
        <f>Results!$D$3</f>
        <v>10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0.66669317661638405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3.4708997685736834E-2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6.8902439795546578E-3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5.4504443419097173E-2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5.1944123794142664E-5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0.23715119417543326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1.4895867178449771E-2</v>
      </c>
      <c r="AB34" s="2">
        <f>SUMIFS(PERSALDATA!$G$2:$G$20871,PERSALDATA!$A$2:$A$20871,WORKING!A34,PERSALDATA!$D$2:$D$20871,WORKING!B34,PERSALDATA!$E$2:$E$20871,WORKING!C34,PERSALDATA!$F$2:$F$20871,"S&amp;W: BASIC SALARY (RES)")</f>
        <v>3</v>
      </c>
      <c r="AC34" s="2">
        <f>SUMIFS(PERSALDATA!$H$2:$H$20871,PERSALDATA!$A$2:$A$20871,WORKING!A34,PERSALDATA!$D$2:$D$20871,WORKING!B34,PERSALDATA!$E$2:$E$20871,WORKING!C34)</f>
        <v>4040495.5299999993</v>
      </c>
    </row>
    <row r="35" spans="1:29" x14ac:dyDescent="0.25">
      <c r="A35" s="2">
        <f>Results!$D$3</f>
        <v>10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10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10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1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20000</v>
      </c>
    </row>
    <row r="38" spans="1:29" x14ac:dyDescent="0.25">
      <c r="A38" s="2">
        <f>Results!$D$3</f>
        <v>10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10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10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10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10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0.6790752589947604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5.6520530371839878E-2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5.0318773983982039E-2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9.6358501839248697E-2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8.8278984029887306E-2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2.9175059196722017E-2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2.7289158355964206E-4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7.3524792202966843E-2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7.0942189787748924E-2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6.994218978774891E-2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6.7942189787748908E-2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1.2795747488898144E-2</v>
      </c>
      <c r="AB42" s="2">
        <f>SUMIFS(PERSALDATA!$G$2:$G$20871,PERSALDATA!$A$2:$A$20871,WORKING!A42,PERSALDATA!$D$2:$D$20871,WORKING!B42,PERSALDATA!$E$2:$E$20871,WORKING!C42,PERSALDATA!$F$2:$F$20871,"S&amp;W: BASIC SALARY (RES)")</f>
        <v>3</v>
      </c>
      <c r="AC42" s="2">
        <f>SUMIFS(PERSALDATA!$H$2:$H$20871,PERSALDATA!$A$2:$A$20871,WORKING!A42,PERSALDATA!$D$2:$D$20871,WORKING!B42,PERSALDATA!$E$2:$E$20871,WORKING!C42)</f>
        <v>769096.64</v>
      </c>
    </row>
    <row r="43" spans="1:29" x14ac:dyDescent="0.25">
      <c r="A43" s="2">
        <f>Results!$D$3</f>
        <v>10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0.75491552168479414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6.2909626807066174E-2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4.407836833504053E-2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3.9729302659316526E-2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9.813875661387754E-2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2.2842389990514333E-4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7.3206254243767352E-2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7.015515585653935E-2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6.9155155856539349E-2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6.7155155856539347E-2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1.3739458576586067E-2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306272.68</v>
      </c>
    </row>
    <row r="44" spans="1:29" x14ac:dyDescent="0.25">
      <c r="A44" s="2">
        <f>Results!$D$3</f>
        <v>10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10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0.74030138333537343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8.1206037227173136E-2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1.7457117211190611E-2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5.0036192806618127E-2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9.6238727241670846E-2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1.4590917189071798E-2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1.6962498890206874E-4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7.5373765791242164E-2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7.057597171998739E-2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6.9575971719987376E-2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6.7575971719987388E-2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1.3985055974899338E-2</v>
      </c>
      <c r="AB45" s="2">
        <f>SUMIFS(PERSALDATA!$G$2:$G$20871,PERSALDATA!$A$2:$A$20871,WORKING!A45,PERSALDATA!$D$2:$D$20871,WORKING!B45,PERSALDATA!$E$2:$E$20871,WORKING!C45,PERSALDATA!$F$2:$F$20871,"S&amp;W: BASIC SALARY (RES)")</f>
        <v>2</v>
      </c>
      <c r="AC45" s="2">
        <f>SUMIFS(PERSALDATA!$H$2:$H$20871,PERSALDATA!$A$2:$A$20871,WORKING!A45,PERSALDATA!$D$2:$D$20871,WORKING!B45,PERSALDATA!$E$2:$E$20871,WORKING!C45)</f>
        <v>927988.27</v>
      </c>
    </row>
    <row r="46" spans="1:29" x14ac:dyDescent="0.25">
      <c r="A46" s="2">
        <f>Results!$D$3</f>
        <v>10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0.75065633707894952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6.2325977663660256E-2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2.303366474714022E-2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4.9050189079035092E-2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9.7585047896154492E-2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1.7214497269584583E-2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1.3428626547582747E-4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7.4936144126323836E-2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7.0505416188714129E-2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6.9505416188714114E-2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6.7505416188714126E-2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1.3916727898625232E-2</v>
      </c>
      <c r="AB46" s="2">
        <f>SUMIFS(PERSALDATA!$G$2:$G$20871,PERSALDATA!$A$2:$A$20871,WORKING!A46,PERSALDATA!$D$2:$D$20871,WORKING!B46,PERSALDATA!$E$2:$E$20871,WORKING!C46,PERSALDATA!$F$2:$F$20871,"S&amp;W: BASIC SALARY (RES)")</f>
        <v>2</v>
      </c>
      <c r="AC46" s="2">
        <f>SUMIFS(PERSALDATA!$H$2:$H$20871,PERSALDATA!$A$2:$A$20871,WORKING!A46,PERSALDATA!$D$2:$D$20871,WORKING!B46,PERSALDATA!$E$2:$E$20871,WORKING!C46)</f>
        <v>1041953.17</v>
      </c>
    </row>
    <row r="47" spans="1:29" x14ac:dyDescent="0.25">
      <c r="A47" s="2">
        <f>Results!$D$3</f>
        <v>10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0.70950891443137287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4.369368981683068E-2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-5.3383682291688881E-4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1.7588143859035097E-2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9.2235798358277374E-2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2.681953491388616E-2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1.1411651817886691E-4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0.11057363892533592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1.4742473646685546E-2</v>
      </c>
      <c r="AB47" s="2">
        <f>SUMIFS(PERSALDATA!$G$2:$G$20871,PERSALDATA!$A$2:$A$20871,WORKING!A47,PERSALDATA!$D$2:$D$20871,WORKING!B47,PERSALDATA!$E$2:$E$20871,WORKING!C47,PERSALDATA!$F$2:$F$20871,"S&amp;W: BASIC SALARY (RES)")</f>
        <v>3</v>
      </c>
      <c r="AC47" s="2">
        <f>SUMIFS(PERSALDATA!$H$2:$H$20871,PERSALDATA!$A$2:$A$20871,WORKING!A47,PERSALDATA!$D$2:$D$20871,WORKING!B47,PERSALDATA!$E$2:$E$20871,WORKING!C47)</f>
        <v>1685908.43</v>
      </c>
    </row>
    <row r="48" spans="1:29" x14ac:dyDescent="0.25">
      <c r="A48" s="2">
        <f>Results!$D$3</f>
        <v>10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0.68109583524491246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4.2994068544402575E-2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8.3061974477270217E-3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8.9706932435451841E-3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8.8542185515597505E-2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2.7276763329578006E-2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9.6850262240497068E-5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0.14271740641199682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1.4739393885697311E-2</v>
      </c>
      <c r="AB48" s="2">
        <f>SUMIFS(PERSALDATA!$G$2:$G$20871,PERSALDATA!$A$2:$A$20871,WORKING!A48,PERSALDATA!$D$2:$D$20871,WORKING!B48,PERSALDATA!$E$2:$E$20871,WORKING!C48,PERSALDATA!$F$2:$F$20871,"S&amp;W: BASIC SALARY (RES)")</f>
        <v>4</v>
      </c>
      <c r="AC48" s="2">
        <f>SUMIFS(PERSALDATA!$H$2:$H$20871,PERSALDATA!$A$2:$A$20871,WORKING!A48,PERSALDATA!$D$2:$D$20871,WORKING!B48,PERSALDATA!$E$2:$E$20871,WORKING!C48)</f>
        <v>2889408.8000000003</v>
      </c>
    </row>
    <row r="49" spans="1:29" x14ac:dyDescent="0.25">
      <c r="A49" s="2">
        <f>Results!$D$3</f>
        <v>10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0.65294434731030737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2.961682809384631E-2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2.1436560626715079E-2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9.8669214214862962E-3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8.4882549963212234E-2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8.6274194999895852E-3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7.3658974977595557E-5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0.19255171410946539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1.4529342884652312E-2</v>
      </c>
      <c r="AB49" s="2">
        <f>SUMIFS(PERSALDATA!$G$2:$G$20871,PERSALDATA!$A$2:$A$20871,WORKING!A49,PERSALDATA!$D$2:$D$20871,WORKING!B49,PERSALDATA!$E$2:$E$20871,WORKING!C49,PERSALDATA!$F$2:$F$20871,"S&amp;W: BASIC SALARY (RES)")</f>
        <v>5</v>
      </c>
      <c r="AC49" s="2">
        <f>SUMIFS(PERSALDATA!$H$2:$H$20871,PERSALDATA!$A$2:$A$20871,WORKING!A49,PERSALDATA!$D$2:$D$20871,WORKING!B49,PERSALDATA!$E$2:$E$20871,WORKING!C49)</f>
        <v>4986357.74</v>
      </c>
    </row>
    <row r="50" spans="1:29" x14ac:dyDescent="0.25">
      <c r="A50" s="2">
        <f>Results!$D$3</f>
        <v>10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0.63505985726071223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5.2001753127355568E-2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0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8.2557607155078094E-2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2.1034787384787125E-2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5.7583213515432102E-5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0.20563307950832252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3.655332350229188E-3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1.4999136251797267E-2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2429874.8099999996</v>
      </c>
    </row>
    <row r="51" spans="1:29" x14ac:dyDescent="0.25">
      <c r="A51" s="2">
        <f>Results!$D$3</f>
        <v>10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0.67608490487585093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5.5561881386453439E-2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8.7890816957469767E-2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4.7357424250002683E-5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0.14629769763650646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3.4117341719469417E-2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1.4999289638636252E-2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1477276.29</v>
      </c>
    </row>
    <row r="52" spans="1:29" x14ac:dyDescent="0.25">
      <c r="A52" s="2">
        <f>Results!$D$3</f>
        <v>10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10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10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1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146765.58000000002</v>
      </c>
    </row>
    <row r="55" spans="1:29" x14ac:dyDescent="0.25">
      <c r="A55" s="2">
        <f>Results!$D$3</f>
        <v>10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10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10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10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0.70989799455147384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1.5499503542492316E-2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2.3459184943101098E-2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5.7136037938755282E-2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5.7785787184630229E-3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4.0520127825289132E-2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3.7406372162264451E-4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0.14733450875880247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7.4298002046382788E-2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6.985208683134593E-2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6.8852086831345929E-2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6.6852086831345928E-2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1.4555822589252193E-2</v>
      </c>
      <c r="AB58" s="2">
        <f>SUMIFS(PERSALDATA!$G$2:$G$20871,PERSALDATA!$A$2:$A$20871,WORKING!A58,PERSALDATA!$D$2:$D$20871,WORKING!B58,PERSALDATA!$E$2:$E$20871,WORKING!C58,PERSALDATA!$F$2:$F$20871,"S&amp;W: BASIC SALARY (RES)")</f>
        <v>6</v>
      </c>
      <c r="AC58" s="2">
        <f>SUMIFS(PERSALDATA!$H$2:$H$20871,PERSALDATA!$A$2:$A$20871,WORKING!A58,PERSALDATA!$D$2:$D$20871,WORKING!B58,PERSALDATA!$E$2:$E$20871,WORKING!C58)</f>
        <v>997477.1100000001</v>
      </c>
    </row>
    <row r="59" spans="1:29" x14ac:dyDescent="0.25">
      <c r="A59" s="2">
        <f>Results!$D$3</f>
        <v>10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0.7818518598436478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5.3623524582436502E-4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6.3577592019894769E-2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5.2095093582362258E-2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0.10163969820808805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2.9952110018261537E-4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7.1897434316641057E-2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7.0145650483536479E-2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6.9145650483536492E-2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6.7145650483536476E-2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1.3260416899463402E-2</v>
      </c>
      <c r="AB59" s="2">
        <f>SUMIFS(PERSALDATA!$G$2:$G$20871,PERSALDATA!$A$2:$A$20871,WORKING!A59,PERSALDATA!$D$2:$D$20871,WORKING!B59,PERSALDATA!$E$2:$E$20871,WORKING!C59,PERSALDATA!$F$2:$F$20871,"S&amp;W: BASIC SALARY (RES)")</f>
        <v>1</v>
      </c>
      <c r="AC59" s="2">
        <f>SUMIFS(PERSALDATA!$H$2:$H$20871,PERSALDATA!$A$2:$A$20871,WORKING!A59,PERSALDATA!$D$2:$D$20871,WORKING!B59,PERSALDATA!$E$2:$E$20871,WORKING!C59)</f>
        <v>155715.24000000002</v>
      </c>
    </row>
    <row r="60" spans="1:29" x14ac:dyDescent="0.25">
      <c r="A60" s="2">
        <f>Results!$D$3</f>
        <v>10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0.68729940579376003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1.9352884387823462E-2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1.3147376693107539E-2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4.4354109041615429E-2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1.6064146559467321E-2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3.007888220419028E-2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9.5436645101975113E-3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2.2710875887649458E-4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0.16806515619143023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7.0617103126929875E-3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4.805555546838731E-3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7.5225697423156365E-2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7.0109488431460934E-2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6.9109488431460947E-2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6.7109488431460945E-2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1.4558420519828228E-2</v>
      </c>
      <c r="AB60" s="2">
        <f>SUMIFS(PERSALDATA!$G$2:$G$20871,PERSALDATA!$A$2:$A$20871,WORKING!A60,PERSALDATA!$D$2:$D$20871,WORKING!B60,PERSALDATA!$E$2:$E$20871,WORKING!C60,PERSALDATA!$F$2:$F$20871,"S&amp;W: BASIC SALARY (RES)")</f>
        <v>6</v>
      </c>
      <c r="AC60" s="2">
        <f>SUMIFS(PERSALDATA!$H$2:$H$20871,PERSALDATA!$A$2:$A$20871,WORKING!A60,PERSALDATA!$D$2:$D$20871,WORKING!B60,PERSALDATA!$E$2:$E$20871,WORKING!C60)</f>
        <v>1848277.46</v>
      </c>
    </row>
    <row r="61" spans="1:29" x14ac:dyDescent="0.25">
      <c r="A61" s="2">
        <f>Results!$D$3</f>
        <v>10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10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0.69608611647780805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4.8778252937903784E-2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1.92694748995219E-2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1.5179463118022206E-2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2.1542747065056139E-2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7.6341471352195628E-2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2.7836097467513206E-2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1.5767163321293002E-4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4.0271129099426789E-2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5.4537575949339417E-2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7.483711836654712E-2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7.0130446456980633E-2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6.9130446456980604E-2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6.713044645698063E-2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1.4385451596033133E-2</v>
      </c>
      <c r="AB62" s="2">
        <f>SUMIFS(PERSALDATA!$G$2:$G$20871,PERSALDATA!$A$2:$A$20871,WORKING!A62,PERSALDATA!$D$2:$D$20871,WORKING!B62,PERSALDATA!$E$2:$E$20871,WORKING!C62,PERSALDATA!$F$2:$F$20871,"S&amp;W: BASIC SALARY (RES)")</f>
        <v>6</v>
      </c>
      <c r="AC62" s="2">
        <f>SUMIFS(PERSALDATA!$H$2:$H$20871,PERSALDATA!$A$2:$A$20871,WORKING!A62,PERSALDATA!$D$2:$D$20871,WORKING!B62,PERSALDATA!$E$2:$E$20871,WORKING!C62)</f>
        <v>2662241.7199999997</v>
      </c>
    </row>
    <row r="63" spans="1:29" x14ac:dyDescent="0.25">
      <c r="A63" s="2">
        <f>Results!$D$3</f>
        <v>10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10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0.72510979356730432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6.4224754946070883E-2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1.7529711215906647E-2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5.8145931114427039E-3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1.1978423824158656E-2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9.4263993334459659E-2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1.6689937194994394E-2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1.0863099472531437E-4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6.42801618109375E-2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1.4555748509478141E-2</v>
      </c>
      <c r="AB64" s="2">
        <f>SUMIFS(PERSALDATA!$G$2:$G$20871,PERSALDATA!$A$2:$A$20871,WORKING!A64,PERSALDATA!$D$2:$D$20871,WORKING!B64,PERSALDATA!$E$2:$E$20871,WORKING!C64,PERSALDATA!$F$2:$F$20871,"S&amp;W: BASIC SALARY (RES)")</f>
        <v>2</v>
      </c>
      <c r="AC64" s="2">
        <f>SUMIFS(PERSALDATA!$H$2:$H$20871,PERSALDATA!$A$2:$A$20871,WORKING!A64,PERSALDATA!$D$2:$D$20871,WORKING!B64,PERSALDATA!$E$2:$E$20871,WORKING!C64)</f>
        <v>1502701.88</v>
      </c>
    </row>
    <row r="65" spans="1:29" x14ac:dyDescent="0.25">
      <c r="A65" s="2">
        <f>Results!$D$3</f>
        <v>10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0.56349966148423314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4.6958305123686102E-2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0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7.3254768988749969E-2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0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8.3436312857263878E-5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0.12128648776343738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0.19491734032703598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1.4998748455307138E-2</v>
      </c>
      <c r="AB65" s="2">
        <f>SUMIFS(PERSALDATA!$G$2:$G$20871,PERSALDATA!$A$2:$A$20871,WORKING!A65,PERSALDATA!$D$2:$D$20871,WORKING!B65,PERSALDATA!$E$2:$E$20871,WORKING!C65,PERSALDATA!$F$2:$F$20871,"S&amp;W: BASIC SALARY (RES)")</f>
        <v>1</v>
      </c>
      <c r="AC65" s="2">
        <f>SUMIFS(PERSALDATA!$H$2:$H$20871,PERSALDATA!$A$2:$A$20871,WORKING!A65,PERSALDATA!$D$2:$D$20871,WORKING!B65,PERSALDATA!$E$2:$E$20871,WORKING!C65)</f>
        <v>838483.84000000008</v>
      </c>
    </row>
    <row r="66" spans="1:29" x14ac:dyDescent="0.25">
      <c r="A66" s="2">
        <f>Results!$D$3</f>
        <v>10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0.64901673676595428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5.4084728063829531E-2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3.8427180634683998E-2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8.8918190230430731E-3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8.4371958473538483E-2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7.4268345135159196E-5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0.16513330869381548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1.4289100979957066E-2</v>
      </c>
      <c r="AB66" s="2">
        <f>SUMIFS(PERSALDATA!$G$2:$G$20871,PERSALDATA!$A$2:$A$20871,WORKING!A66,PERSALDATA!$D$2:$D$20871,WORKING!B66,PERSALDATA!$E$2:$E$20871,WORKING!C66,PERSALDATA!$F$2:$F$20871,"S&amp;W: BASIC SALARY (RES)")</f>
        <v>4</v>
      </c>
      <c r="AC66" s="2">
        <f>SUMIFS(PERSALDATA!$H$2:$H$20871,PERSALDATA!$A$2:$A$20871,WORKING!A66,PERSALDATA!$D$2:$D$20871,WORKING!B66,PERSALDATA!$E$2:$E$20871,WORKING!C66)</f>
        <v>3767957.9299999997</v>
      </c>
    </row>
    <row r="67" spans="1:29" x14ac:dyDescent="0.25">
      <c r="A67" s="2">
        <f>Results!$D$3</f>
        <v>10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0.63674620134495163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5.2670702312013894E-2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2.0472389381058637E-2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8.2776847940334103E-2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2.0847226035382454E-2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5.9677015045785918E-5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0.18642695597121359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1.4692019004058435E-2</v>
      </c>
      <c r="AB67" s="2">
        <f>SUMIFS(PERSALDATA!$G$2:$G$20871,PERSALDATA!$A$2:$A$20871,WORKING!A67,PERSALDATA!$D$2:$D$20871,WORKING!B67,PERSALDATA!$E$2:$E$20871,WORKING!C67,PERSALDATA!$F$2:$F$20871,"S&amp;W: BASIC SALARY (RES)")</f>
        <v>2</v>
      </c>
      <c r="AC67" s="2">
        <f>SUMIFS(PERSALDATA!$H$2:$H$20871,PERSALDATA!$A$2:$A$20871,WORKING!A67,PERSALDATA!$D$2:$D$20871,WORKING!B67,PERSALDATA!$E$2:$E$20871,WORKING!C67)</f>
        <v>2344621.29</v>
      </c>
    </row>
    <row r="68" spans="1:29" x14ac:dyDescent="0.25">
      <c r="A68" s="2">
        <f>Results!$D$3</f>
        <v>10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10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10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10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1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96000</v>
      </c>
    </row>
    <row r="72" spans="1:29" x14ac:dyDescent="0.25">
      <c r="A72" s="2">
        <f>Results!$D$3</f>
        <v>10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10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10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0.58444139056981292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0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5.370469934020794E-2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0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0.21153684351226348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7.5976038156592179E-2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3.4788710794823587E-4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7.3993141313175387E-2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7.4879958659315904E-2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7.2636005659281896E-2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7.1636005659281882E-2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6.963600565928188E-2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1.1016158550593706E-2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16758.309999999998</v>
      </c>
    </row>
    <row r="75" spans="1:29" x14ac:dyDescent="0.25">
      <c r="A75" s="2">
        <f>Results!$D$3</f>
        <v>10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0.79579352990849339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0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3.1400420370220263E-2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0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5.8382510849717462E-2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4.401292255225873E-4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0.11398340964604632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7.3613568051863268E-2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6.9685995796297806E-2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6.8685995796297805E-2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6.6685995796297803E-2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1.4522391756063856E-2</v>
      </c>
      <c r="AB75" s="2">
        <f>SUMIFS(PERSALDATA!$G$2:$G$20871,PERSALDATA!$A$2:$A$20871,WORKING!A75,PERSALDATA!$D$2:$D$20871,WORKING!B75,PERSALDATA!$E$2:$E$20871,WORKING!C75,PERSALDATA!$F$2:$F$20871,"S&amp;W: BASIC SALARY (RES)")</f>
        <v>1</v>
      </c>
      <c r="AC75" s="2">
        <f>SUMIFS(PERSALDATA!$H$2:$H$20871,PERSALDATA!$A$2:$A$20871,WORKING!A75,PERSALDATA!$D$2:$D$20871,WORKING!B75,PERSALDATA!$E$2:$E$20871,WORKING!C75)</f>
        <v>171972.22</v>
      </c>
    </row>
    <row r="76" spans="1:29" x14ac:dyDescent="0.25">
      <c r="A76" s="2">
        <f>Results!$D$3</f>
        <v>10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0.67180705307124911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5.4464301270490741E-2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3.9789435113207886E-2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1.7617314979578878E-2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6.4834673992799283E-2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5.8170847916680458E-2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1.1036745282083284E-2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2.8117867480000237E-4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8.1998449699110493E-2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7.3883688367295391E-2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7.0574625758759904E-2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6.9574625758759931E-2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6.7574625758759915E-2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1.3426420683287895E-2</v>
      </c>
      <c r="AB76" s="2">
        <f>SUMIFS(PERSALDATA!$G$2:$G$20871,PERSALDATA!$A$2:$A$20871,WORKING!A76,PERSALDATA!$D$2:$D$20871,WORKING!B76,PERSALDATA!$E$2:$E$20871,WORKING!C76,PERSALDATA!$F$2:$F$20871,"S&amp;W: BASIC SALARY (RES)")</f>
        <v>3</v>
      </c>
      <c r="AC76" s="2">
        <f>SUMIFS(PERSALDATA!$H$2:$H$20871,PERSALDATA!$A$2:$A$20871,WORKING!A76,PERSALDATA!$D$2:$D$20871,WORKING!B76,PERSALDATA!$E$2:$E$20871,WORKING!C76)</f>
        <v>497619.52999999991</v>
      </c>
    </row>
    <row r="77" spans="1:29" x14ac:dyDescent="0.25">
      <c r="A77" s="2">
        <f>Results!$D$3</f>
        <v>10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0.68011581109190411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4.9130910827393341E-2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3.5369708261803835E-2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2.3471141904153787E-2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8.6930882972344525E-2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7.6360336875137089E-2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1.4076091218309182E-2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2.3692090296001928E-4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3.430819594599422E-2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7.4528934533715743E-2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7.0950266161967146E-2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6.9950266161967145E-2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6.7950266161967143E-2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1.3161937317943375E-2</v>
      </c>
      <c r="AB77" s="2">
        <f>SUMIFS(PERSALDATA!$G$2:$G$20871,PERSALDATA!$A$2:$A$20871,WORKING!A77,PERSALDATA!$D$2:$D$20871,WORKING!B77,PERSALDATA!$E$2:$E$20871,WORKING!C77,PERSALDATA!$F$2:$F$20871,"S&amp;W: BASIC SALARY (RES)")</f>
        <v>2</v>
      </c>
      <c r="AC77" s="2">
        <f>SUMIFS(PERSALDATA!$H$2:$H$20871,PERSALDATA!$A$2:$A$20871,WORKING!A77,PERSALDATA!$D$2:$D$20871,WORKING!B77,PERSALDATA!$E$2:$E$20871,WORKING!C77)</f>
        <v>712474.07</v>
      </c>
    </row>
    <row r="78" spans="1:29" x14ac:dyDescent="0.25">
      <c r="A78" s="2">
        <f>Results!$D$3</f>
        <v>10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0.6819425452354938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5.7039668983730016E-2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3.7348637384763197E-2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0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7.8102917185870355E-2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8.8652053648025392E-2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5.672062862349217E-2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1.9354893862503949E-4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7.4254944399360187E-2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7.0798057383940419E-2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6.9798057383940432E-2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6.779805738394043E-2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1.3265323447361121E-2</v>
      </c>
      <c r="AB78" s="2">
        <f>SUMIFS(PERSALDATA!$G$2:$G$20871,PERSALDATA!$A$2:$A$20871,WORKING!A78,PERSALDATA!$D$2:$D$20871,WORKING!B78,PERSALDATA!$E$2:$E$20871,WORKING!C78,PERSALDATA!$F$2:$F$20871,"S&amp;W: BASIC SALARY (RES)")</f>
        <v>1</v>
      </c>
      <c r="AC78" s="2">
        <f>SUMIFS(PERSALDATA!$H$2:$H$20871,PERSALDATA!$A$2:$A$20871,WORKING!A78,PERSALDATA!$D$2:$D$20871,WORKING!B78,PERSALDATA!$E$2:$E$20871,WORKING!C78)</f>
        <v>361458.97000000003</v>
      </c>
    </row>
    <row r="79" spans="1:29" x14ac:dyDescent="0.25">
      <c r="A79" s="2">
        <f>Results!$D$3</f>
        <v>10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0.72978897080346361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0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0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0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0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0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0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1.8929588586659446E-4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0.27002173331066975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7.5999999999999998E-2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7.0000000000000007E-2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6.9000000000000006E-2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6.7000000000000004E-2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1.4997160561712001E-2</v>
      </c>
      <c r="AB79" s="2">
        <f>SUMIFS(PERSALDATA!$G$2:$G$20871,PERSALDATA!$A$2:$A$20871,WORKING!A79,PERSALDATA!$D$2:$D$20871,WORKING!B79,PERSALDATA!$E$2:$E$20871,WORKING!C79,PERSALDATA!$F$2:$F$20871,"S&amp;W: BASIC SALARY (RES)")</f>
        <v>1</v>
      </c>
      <c r="AC79" s="2">
        <f>SUMIFS(PERSALDATA!$H$2:$H$20871,PERSALDATA!$A$2:$A$20871,WORKING!A79,PERSALDATA!$D$2:$D$20871,WORKING!B79,PERSALDATA!$E$2:$E$20871,WORKING!C79)</f>
        <v>123193.38</v>
      </c>
    </row>
    <row r="80" spans="1:29" x14ac:dyDescent="0.25">
      <c r="A80" s="2">
        <f>Results!$D$3</f>
        <v>10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10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0.74801153506652529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4.5925202199923451E-2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1.163392857633699E-2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0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3.7336687496415229E-2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9.7241306690606141E-2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0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1.1351040177207708E-4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5.9737829568420893E-2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0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1.4263738102882137E-2</v>
      </c>
      <c r="AB81" s="2">
        <f>SUMIFS(PERSALDATA!$G$2:$G$20871,PERSALDATA!$A$2:$A$20871,WORKING!A81,PERSALDATA!$D$2:$D$20871,WORKING!B81,PERSALDATA!$E$2:$E$20871,WORKING!C81,PERSALDATA!$F$2:$F$20871,"S&amp;W: BASIC SALARY (RES)")</f>
        <v>1</v>
      </c>
      <c r="AC81" s="2">
        <f>SUMIFS(PERSALDATA!$H$2:$H$20871,PERSALDATA!$A$2:$A$20871,WORKING!A81,PERSALDATA!$D$2:$D$20871,WORKING!B81,PERSALDATA!$E$2:$E$20871,WORKING!C81)</f>
        <v>873135.83999999985</v>
      </c>
    </row>
    <row r="82" spans="1:29" x14ac:dyDescent="0.25">
      <c r="A82" s="2">
        <f>Results!$D$3</f>
        <v>10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0.69310862517909722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4.6808911188318876E-2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0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2.6986429112201347E-3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1.1730377056525272E-2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7.2822612824995692E-2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2.1818760559989086E-2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9.4458699225887202E-5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0.13442379411717112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1.6493817463456805E-2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1.4822627463663736E-2</v>
      </c>
      <c r="AB82" s="2">
        <f>SUMIFS(PERSALDATA!$G$2:$G$20871,PERSALDATA!$A$2:$A$20871,WORKING!A82,PERSALDATA!$D$2:$D$20871,WORKING!B82,PERSALDATA!$E$2:$E$20871,WORKING!C82,PERSALDATA!$F$2:$F$20871,"S&amp;W: BASIC SALARY (RES)")</f>
        <v>5</v>
      </c>
      <c r="AC82" s="2">
        <f>SUMIFS(PERSALDATA!$H$2:$H$20871,PERSALDATA!$A$2:$A$20871,WORKING!A82,PERSALDATA!$D$2:$D$20871,WORKING!B82,PERSALDATA!$E$2:$E$20871,WORKING!C82)</f>
        <v>3703205.7699999996</v>
      </c>
    </row>
    <row r="83" spans="1:29" x14ac:dyDescent="0.25">
      <c r="A83" s="2">
        <f>Results!$D$3</f>
        <v>10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0.64919373525606339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4.4165508064462254E-2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0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5.9967757335805784E-3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6.889800408541745E-2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7.666930378678679E-5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0.21852283211866769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1.3146475438021948E-2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1.4908898324439488E-2</v>
      </c>
      <c r="AB83" s="2">
        <f>SUMIFS(PERSALDATA!$G$2:$G$20871,PERSALDATA!$A$2:$A$20871,WORKING!A83,PERSALDATA!$D$2:$D$20871,WORKING!B83,PERSALDATA!$E$2:$E$20871,WORKING!C83,PERSALDATA!$F$2:$F$20871,"S&amp;W: BASIC SALARY (RES)")</f>
        <v>4</v>
      </c>
      <c r="AC83" s="2">
        <f>SUMIFS(PERSALDATA!$H$2:$H$20871,PERSALDATA!$A$2:$A$20871,WORKING!A83,PERSALDATA!$D$2:$D$20871,WORKING!B83,PERSALDATA!$E$2:$E$20871,WORKING!C83)</f>
        <v>2281225.88</v>
      </c>
    </row>
    <row r="84" spans="1:29" x14ac:dyDescent="0.25">
      <c r="A84" s="2">
        <f>Results!$D$3</f>
        <v>10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0.65061277823557606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6.6904980769132746E-2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4.262444648717857E-3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5.8622413973721888E-3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8.4579481179261048E-2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6.2610361053225266E-5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0.18771546340888695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1.4847190553892851E-2</v>
      </c>
      <c r="AB84" s="2">
        <f>SUMIFS(PERSALDATA!$G$2:$G$20871,PERSALDATA!$A$2:$A$20871,WORKING!A84,PERSALDATA!$D$2:$D$20871,WORKING!B84,PERSALDATA!$E$2:$E$20871,WORKING!C84,PERSALDATA!$F$2:$F$20871,"S&amp;W: BASIC SALARY (RES)")</f>
        <v>2</v>
      </c>
      <c r="AC84" s="2">
        <f>SUMIFS(PERSALDATA!$H$2:$H$20871,PERSALDATA!$A$2:$A$20871,WORKING!A84,PERSALDATA!$D$2:$D$20871,WORKING!B84,PERSALDATA!$E$2:$E$20871,WORKING!C84)</f>
        <v>2793467.36</v>
      </c>
    </row>
    <row r="85" spans="1:29" x14ac:dyDescent="0.25">
      <c r="A85" s="2">
        <f>Results!$D$3</f>
        <v>10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0.59996841231998654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4.9306429661772268E-2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2.1019193354782022E-2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7.7995771291636914E-2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5.2819783301025507E-5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0.25165737358852136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1.4683919802928757E-2</v>
      </c>
      <c r="AB85" s="2">
        <f>SUMIFS(PERSALDATA!$G$2:$G$20871,PERSALDATA!$A$2:$A$20871,WORKING!A85,PERSALDATA!$D$2:$D$20871,WORKING!B85,PERSALDATA!$E$2:$E$20871,WORKING!C85,PERSALDATA!$F$2:$F$20871,"S&amp;W: BASIC SALARY (RES)")</f>
        <v>1</v>
      </c>
      <c r="AC85" s="2">
        <f>SUMIFS(PERSALDATA!$H$2:$H$20871,PERSALDATA!$A$2:$A$20871,WORKING!A85,PERSALDATA!$D$2:$D$20871,WORKING!B85,PERSALDATA!$E$2:$E$20871,WORKING!C85)</f>
        <v>1324503.73</v>
      </c>
    </row>
    <row r="86" spans="1:29" x14ac:dyDescent="0.25">
      <c r="A86" s="2">
        <f>Results!$D$3</f>
        <v>10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10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10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1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0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0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0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7.5999999999999998E-2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7.0000000000000007E-2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6.9000000000000006E-2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6.7000000000000004E-2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1.4999999999999999E-2</v>
      </c>
      <c r="AB88" s="2">
        <f>SUMIFS(PERSALDATA!$G$2:$G$20871,PERSALDATA!$A$2:$A$20871,WORKING!A88,PERSALDATA!$D$2:$D$20871,WORKING!B88,PERSALDATA!$E$2:$E$20871,WORKING!C88,PERSALDATA!$F$2:$F$20871,"S&amp;W: BASIC SALARY (RES)")</f>
        <v>3</v>
      </c>
      <c r="AC88" s="2">
        <f>SUMIFS(PERSALDATA!$H$2:$H$20871,PERSALDATA!$A$2:$A$20871,WORKING!A88,PERSALDATA!$D$2:$D$20871,WORKING!B88,PERSALDATA!$E$2:$E$20871,WORKING!C88)</f>
        <v>24000</v>
      </c>
    </row>
    <row r="89" spans="1:29" x14ac:dyDescent="0.25">
      <c r="A89" s="2">
        <f>Results!$D$3</f>
        <v>10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10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10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0.72935749517073301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0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0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0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0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0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7.858932829714584E-4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0.26985661154629559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7.6000000000000012E-2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7.0000000000000007E-2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6.9000000000000006E-2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6.7000000000000004E-2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1.4988211600755428E-2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7418.31</v>
      </c>
    </row>
    <row r="92" spans="1:29" x14ac:dyDescent="0.25">
      <c r="A92" s="2">
        <f>Results!$D$3</f>
        <v>10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0.73694148791607805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0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0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0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0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0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4.2855464412710456E-4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0.26262995743979484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7.5999999999999998E-2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7.0000000000000007E-2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6.9000000000000006E-2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6.7000000000000004E-2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1.4993571680338092E-2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244869.58999999997</v>
      </c>
    </row>
    <row r="93" spans="1:29" x14ac:dyDescent="0.25">
      <c r="A93" s="2">
        <f>Results!$D$3</f>
        <v>10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0.70389834309151367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5.8875465540093867E-2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5.7372103927908848E-2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0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5.8776658027773585E-2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9.1505998391583701E-2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2.927411602921549E-2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2.9731499191085209E-4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0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0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7.2462593313867757E-2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7.0307928831137526E-2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6.9307928831137525E-2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6.7307928831137523E-2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1.3253308845786101E-2</v>
      </c>
      <c r="AB93" s="2">
        <f>SUMIFS(PERSALDATA!$G$2:$G$20871,PERSALDATA!$A$2:$A$20871,WORKING!A93,PERSALDATA!$D$2:$D$20871,WORKING!B93,PERSALDATA!$E$2:$E$20871,WORKING!C93,PERSALDATA!$F$2:$F$20871,"S&amp;W: BASIC SALARY (RES)")</f>
        <v>2</v>
      </c>
      <c r="AC93" s="2">
        <f>SUMIFS(PERSALDATA!$H$2:$H$20871,PERSALDATA!$A$2:$A$20871,WORKING!A93,PERSALDATA!$D$2:$D$20871,WORKING!B93,PERSALDATA!$E$2:$E$20871,WORKING!C93)</f>
        <v>470611.99</v>
      </c>
    </row>
    <row r="94" spans="1:29" x14ac:dyDescent="0.25">
      <c r="A94" s="2">
        <f>Results!$D$3</f>
        <v>10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0.71517580831628125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5.9819042615590776E-2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4.1353926198909152E-2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4.9912171657390716E-2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9.2972199470091457E-2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3.3047586668919722E-2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2.3521306316062472E-4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7.4840520096562417E-3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7.3555872012086368E-2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7.0335143312871759E-2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6.9335143312871786E-2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6.733514331287177E-2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1.3627480336208092E-2</v>
      </c>
      <c r="AB94" s="2">
        <f>SUMIFS(PERSALDATA!$G$2:$G$20871,PERSALDATA!$A$2:$A$20871,WORKING!A94,PERSALDATA!$D$2:$D$20871,WORKING!B94,PERSALDATA!$E$2:$E$20871,WORKING!C94,PERSALDATA!$F$2:$F$20871,"S&amp;W: BASIC SALARY (RES)")</f>
        <v>2</v>
      </c>
      <c r="AC94" s="2">
        <f>SUMIFS(PERSALDATA!$H$2:$H$20871,PERSALDATA!$A$2:$A$20871,WORKING!A94,PERSALDATA!$D$2:$D$20871,WORKING!B94,PERSALDATA!$E$2:$E$20871,WORKING!C94)</f>
        <v>594864.92000000004</v>
      </c>
    </row>
    <row r="95" spans="1:29" x14ac:dyDescent="0.25">
      <c r="A95" s="2">
        <f>Results!$D$3</f>
        <v>10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10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0.62081373963522268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5.183154461843277E-2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2.5104001544971982E-2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0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4.5579701852724128E-2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8.0705469862083296E-2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0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1.3938698000684442E-4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0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0.14362910798220282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3.2197047524355434E-2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7.4730211708520275E-2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7.0432655512341152E-2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6.9432655512341152E-2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6.7432655512341136E-2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1.3937653644334453E-2</v>
      </c>
      <c r="AB96" s="2">
        <f>SUMIFS(PERSALDATA!$G$2:$G$20871,PERSALDATA!$A$2:$A$20871,WORKING!A96,PERSALDATA!$D$2:$D$20871,WORKING!B96,PERSALDATA!$E$2:$E$20871,WORKING!C96,PERSALDATA!$F$2:$F$20871,"S&amp;W: BASIC SALARY (RES)")</f>
        <v>2</v>
      </c>
      <c r="AC96" s="2">
        <f>SUMIFS(PERSALDATA!$H$2:$H$20871,PERSALDATA!$A$2:$A$20871,WORKING!A96,PERSALDATA!$D$2:$D$20871,WORKING!B96,PERSALDATA!$E$2:$E$20871,WORKING!C96)</f>
        <v>1003824.03</v>
      </c>
    </row>
    <row r="97" spans="1:29" x14ac:dyDescent="0.25">
      <c r="A97" s="2">
        <f>Results!$D$3</f>
        <v>10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10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0.55055484568954194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5.8502323196794492E-2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1.4663371276944611E-2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0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1.0717258057840589E-2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7.1571894050283635E-2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1.7969269343646052E-2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8.6780020107236967E-5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7.3130753705509602E-2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0.1790368881206551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2.3766616538676781E-2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0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1.4617988859676615E-2</v>
      </c>
      <c r="AB98" s="2">
        <f>SUMIFS(PERSALDATA!$G$2:$G$20871,PERSALDATA!$A$2:$A$20871,WORKING!A98,PERSALDATA!$D$2:$D$20871,WORKING!B98,PERSALDATA!$E$2:$E$20871,WORKING!C98,PERSALDATA!$F$2:$F$20871,"S&amp;W: BASIC SALARY (RES)")</f>
        <v>1</v>
      </c>
      <c r="AC98" s="2">
        <f>SUMIFS(PERSALDATA!$H$2:$H$20871,PERSALDATA!$A$2:$A$20871,WORKING!A98,PERSALDATA!$D$2:$D$20871,WORKING!B98,PERSALDATA!$E$2:$E$20871,WORKING!C98)</f>
        <v>1276445.8899999999</v>
      </c>
    </row>
    <row r="99" spans="1:29" x14ac:dyDescent="0.25">
      <c r="A99" s="2">
        <f>Results!$D$3</f>
        <v>10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0.75993332459378993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0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0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0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2.8371657036568357E-2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9.8791065584103527E-2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0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8.7982319427230596E-5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0.11281597046611115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1.4573105409660071E-2</v>
      </c>
      <c r="AB99" s="2">
        <f>SUMIFS(PERSALDATA!$G$2:$G$20871,PERSALDATA!$A$2:$A$20871,WORKING!A99,PERSALDATA!$D$2:$D$20871,WORKING!B99,PERSALDATA!$E$2:$E$20871,WORKING!C99,PERSALDATA!$F$2:$F$20871,"S&amp;W: BASIC SALARY (RES)")</f>
        <v>1</v>
      </c>
      <c r="AC99" s="2">
        <f>SUMIFS(PERSALDATA!$H$2:$H$20871,PERSALDATA!$A$2:$A$20871,WORKING!A99,PERSALDATA!$D$2:$D$20871,WORKING!B99,PERSALDATA!$E$2:$E$20871,WORKING!C99)</f>
        <v>795159.75999999978</v>
      </c>
    </row>
    <row r="100" spans="1:29" x14ac:dyDescent="0.25">
      <c r="A100" s="2">
        <f>Results!$D$3</f>
        <v>10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0.70414702962507336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5.1482569699743942E-2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1.177074031008544E-2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9.3185027454843073E-3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9.1538895961777791E-2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0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7.8154446008881179E-5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0.13166410721182634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0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1.4682489037476321E-2</v>
      </c>
      <c r="AB100" s="2">
        <f>SUMIFS(PERSALDATA!$G$2:$G$20871,PERSALDATA!$A$2:$A$20871,WORKING!A100,PERSALDATA!$D$2:$D$20871,WORKING!B100,PERSALDATA!$E$2:$E$20871,WORKING!C100,PERSALDATA!$F$2:$F$20871,"S&amp;W: BASIC SALARY (RES)")</f>
        <v>4</v>
      </c>
      <c r="AC100" s="2">
        <f>SUMIFS(PERSALDATA!$H$2:$H$20871,PERSALDATA!$A$2:$A$20871,WORKING!A100,PERSALDATA!$D$2:$D$20871,WORKING!B100,PERSALDATA!$E$2:$E$20871,WORKING!C100)</f>
        <v>3058431.25</v>
      </c>
    </row>
    <row r="101" spans="1:29" x14ac:dyDescent="0.25">
      <c r="A101" s="2">
        <f>Results!$D$3</f>
        <v>10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0.64673653478719517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5.3208229627918255E-2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0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8.6716318322850039E-3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8.4075594155598357E-2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0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6.3194516977776958E-5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0.20724481508002557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1.4868977604761059E-2</v>
      </c>
      <c r="AB101" s="2">
        <f>SUMIFS(PERSALDATA!$G$2:$G$20871,PERSALDATA!$A$2:$A$20871,WORKING!A101,PERSALDATA!$D$2:$D$20871,WORKING!B101,PERSALDATA!$E$2:$E$20871,WORKING!C101,PERSALDATA!$F$2:$F$20871,"S&amp;W: BASIC SALARY (RES)")</f>
        <v>2</v>
      </c>
      <c r="AC101" s="2">
        <f>SUMIFS(PERSALDATA!$H$2:$H$20871,PERSALDATA!$A$2:$A$20871,WORKING!A101,PERSALDATA!$D$2:$D$20871,WORKING!B101,PERSALDATA!$E$2:$E$20871,WORKING!C101)</f>
        <v>2214116.14</v>
      </c>
    </row>
    <row r="102" spans="1:29" x14ac:dyDescent="0.25">
      <c r="A102" s="2">
        <f>Results!$D$3</f>
        <v>10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0.70016390030097797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0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0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0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0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5.135921360710025E-5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0.29978474048541487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1.4999229611795891E-2</v>
      </c>
      <c r="AB102" s="2">
        <f>SUMIFS(PERSALDATA!$G$2:$G$20871,PERSALDATA!$A$2:$A$20871,WORKING!A102,PERSALDATA!$D$2:$D$20871,WORKING!B102,PERSALDATA!$E$2:$E$20871,WORKING!C102,PERSALDATA!$F$2:$F$20871,"S&amp;W: BASIC SALARY (RES)")</f>
        <v>1</v>
      </c>
      <c r="AC102" s="2">
        <f>SUMIFS(PERSALDATA!$H$2:$H$20871,PERSALDATA!$A$2:$A$20871,WORKING!A102,PERSALDATA!$D$2:$D$20871,WORKING!B102,PERSALDATA!$E$2:$E$20871,WORKING!C102)</f>
        <v>1246709.1200000001</v>
      </c>
    </row>
    <row r="103" spans="1:29" x14ac:dyDescent="0.25">
      <c r="A103" s="2">
        <f>Results!$D$3</f>
        <v>10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10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10</v>
      </c>
      <c r="B105" s="2">
        <v>7</v>
      </c>
      <c r="C105" s="2">
        <v>1</v>
      </c>
      <c r="D105" s="62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>0.1372349611612606</v>
      </c>
      <c r="E105" s="62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>0</v>
      </c>
      <c r="F105" s="62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>0</v>
      </c>
      <c r="G105" s="69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>0</v>
      </c>
      <c r="H105" s="62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>0</v>
      </c>
      <c r="I105" s="62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>0</v>
      </c>
      <c r="J105" s="62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>0</v>
      </c>
      <c r="K105" s="62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>0</v>
      </c>
      <c r="L105" s="62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>0</v>
      </c>
      <c r="M105" s="62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>0</v>
      </c>
      <c r="N105" s="62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>0</v>
      </c>
      <c r="O105" s="62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>0</v>
      </c>
      <c r="P105" s="62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>0</v>
      </c>
      <c r="Q105" s="62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>0</v>
      </c>
      <c r="R105" s="62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>0</v>
      </c>
      <c r="S105" s="62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>0</v>
      </c>
      <c r="T105" s="62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>0.86276503883873945</v>
      </c>
      <c r="U105" s="62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>0</v>
      </c>
      <c r="V105" s="62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>0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7.5999999999999998E-2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7.0000000000000007E-2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6.9000000000000006E-2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6.7000000000000004E-2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1.5000000000000001E-2</v>
      </c>
      <c r="AB105" s="2">
        <f>SUMIFS(PERSALDATA!$G$2:$G$20871,PERSALDATA!$A$2:$A$20871,WORKING!A105,PERSALDATA!$D$2:$D$20871,WORKING!B105,PERSALDATA!$E$2:$E$20871,WORKING!C105,PERSALDATA!$F$2:$F$20871,"S&amp;W: BASIC SALARY (RES)")</f>
        <v>1</v>
      </c>
      <c r="AC105" s="2">
        <f>SUMIFS(PERSALDATA!$H$2:$H$20871,PERSALDATA!$A$2:$A$20871,WORKING!A105,PERSALDATA!$D$2:$D$20871,WORKING!B105,PERSALDATA!$E$2:$E$20871,WORKING!C105)</f>
        <v>43520.98</v>
      </c>
    </row>
    <row r="106" spans="1:29" x14ac:dyDescent="0.25">
      <c r="A106" s="2">
        <f>Results!$D$3</f>
        <v>10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10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10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10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10</v>
      </c>
      <c r="B110" s="2">
        <v>7</v>
      </c>
      <c r="C110" s="2">
        <v>6</v>
      </c>
      <c r="D110" s="62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>0.72667905371515007</v>
      </c>
      <c r="E110" s="62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>6.0781171043710926E-2</v>
      </c>
      <c r="F110" s="62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>5.7408258661371808E-2</v>
      </c>
      <c r="G110" s="69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>0</v>
      </c>
      <c r="H110" s="62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>4.9677279828307074E-2</v>
      </c>
      <c r="I110" s="62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>9.4467529258119035E-2</v>
      </c>
      <c r="J110" s="62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>1.0689205139567204E-2</v>
      </c>
      <c r="K110" s="62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>2.9750235377404229E-4</v>
      </c>
      <c r="L110" s="62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>0</v>
      </c>
      <c r="M110" s="62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>0</v>
      </c>
      <c r="N110" s="62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>0</v>
      </c>
      <c r="O110" s="62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>0</v>
      </c>
      <c r="P110" s="62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>0</v>
      </c>
      <c r="Q110" s="62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>0</v>
      </c>
      <c r="R110" s="62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>0</v>
      </c>
      <c r="S110" s="62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>0</v>
      </c>
      <c r="T110" s="62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>0</v>
      </c>
      <c r="U110" s="62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>0</v>
      </c>
      <c r="V110" s="62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>0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7.2332454259332046E-2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7.0171076610810915E-2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6.91710766108109E-2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6.7171076610810898E-2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1.3389254387348209E-2</v>
      </c>
      <c r="AB110" s="2">
        <f>SUMIFS(PERSALDATA!$G$2:$G$20871,PERSALDATA!$A$2:$A$20871,WORKING!A110,PERSALDATA!$D$2:$D$20871,WORKING!B110,PERSALDATA!$E$2:$E$20871,WORKING!C110,PERSALDATA!$F$2:$F$20871,"S&amp;W: BASIC SALARY (RES)")</f>
        <v>3</v>
      </c>
      <c r="AC110" s="2">
        <f>SUMIFS(PERSALDATA!$H$2:$H$20871,PERSALDATA!$A$2:$A$20871,WORKING!A110,PERSALDATA!$D$2:$D$20871,WORKING!B110,PERSALDATA!$E$2:$E$20871,WORKING!C110)</f>
        <v>705473.40999999992</v>
      </c>
    </row>
    <row r="111" spans="1:29" x14ac:dyDescent="0.25">
      <c r="A111" s="2">
        <f>Results!$D$3</f>
        <v>10</v>
      </c>
      <c r="B111" s="2">
        <v>7</v>
      </c>
      <c r="C111" s="2">
        <v>7</v>
      </c>
      <c r="D111" s="62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>0.70498278273561898</v>
      </c>
      <c r="E111" s="62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>5.8748565227968244E-2</v>
      </c>
      <c r="F111" s="62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>4.8488712779480407E-2</v>
      </c>
      <c r="G111" s="69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>0</v>
      </c>
      <c r="H111" s="62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>6.2938349187765572E-2</v>
      </c>
      <c r="I111" s="62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>9.1647079321895045E-2</v>
      </c>
      <c r="J111" s="62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>3.2943231462378993E-2</v>
      </c>
      <c r="K111" s="62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>2.5127928489277401E-4</v>
      </c>
      <c r="L111" s="62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>0</v>
      </c>
      <c r="M111" s="62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>0</v>
      </c>
      <c r="N111" s="62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>0</v>
      </c>
      <c r="O111" s="62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>0</v>
      </c>
      <c r="P111" s="62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>0</v>
      </c>
      <c r="Q111" s="62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>0</v>
      </c>
      <c r="R111" s="62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>0</v>
      </c>
      <c r="S111" s="62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>0</v>
      </c>
      <c r="T111" s="62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>0</v>
      </c>
      <c r="U111" s="62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>0</v>
      </c>
      <c r="V111" s="62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>0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7.3195994717388219E-2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7.0459188110021692E-2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6.9459188110021677E-2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6.7459188110021676E-2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1.3324824881217919E-2</v>
      </c>
      <c r="AB111" s="2">
        <f>SUMIFS(PERSALDATA!$G$2:$G$20871,PERSALDATA!$A$2:$A$20871,WORKING!A111,PERSALDATA!$D$2:$D$20871,WORKING!B111,PERSALDATA!$E$2:$E$20871,WORKING!C111,PERSALDATA!$F$2:$F$20871,"S&amp;W: BASIC SALARY (RES)")</f>
        <v>1</v>
      </c>
      <c r="AC111" s="2">
        <f>SUMIFS(PERSALDATA!$H$2:$H$20871,PERSALDATA!$A$2:$A$20871,WORKING!A111,PERSALDATA!$D$2:$D$20871,WORKING!B111,PERSALDATA!$E$2:$E$20871,WORKING!C111)</f>
        <v>278415.31</v>
      </c>
    </row>
    <row r="112" spans="1:29" x14ac:dyDescent="0.25">
      <c r="A112" s="2">
        <f>Results!$D$3</f>
        <v>10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10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10</v>
      </c>
      <c r="B114" s="2">
        <v>7</v>
      </c>
      <c r="C114" s="2">
        <v>10</v>
      </c>
      <c r="D114" s="62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>0.74919317016725773</v>
      </c>
      <c r="E114" s="62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>6.4493693715299311E-2</v>
      </c>
      <c r="F114" s="62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>2.6269189720353043E-2</v>
      </c>
      <c r="G114" s="69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>0</v>
      </c>
      <c r="H114" s="62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>4.4033342957128255E-2</v>
      </c>
      <c r="I114" s="62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>9.7394720659308459E-2</v>
      </c>
      <c r="J114" s="62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>1.847774804929633E-2</v>
      </c>
      <c r="K114" s="62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>1.3813473135694662E-4</v>
      </c>
      <c r="L114" s="62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>0</v>
      </c>
      <c r="M114" s="62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>0</v>
      </c>
      <c r="N114" s="62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>0</v>
      </c>
      <c r="O114" s="62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>0</v>
      </c>
      <c r="P114" s="62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>0</v>
      </c>
      <c r="Q114" s="62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>0</v>
      </c>
      <c r="R114" s="62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>0</v>
      </c>
      <c r="S114" s="62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>0</v>
      </c>
      <c r="T114" s="62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>0</v>
      </c>
      <c r="U114" s="62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>0</v>
      </c>
      <c r="V114" s="62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>0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7.462000838265298E-2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7.0397808247153415E-2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6.9397808247153386E-2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6.7397808247153398E-2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1.3943389988867426E-2</v>
      </c>
      <c r="AB114" s="2">
        <f>SUMIFS(PERSALDATA!$G$2:$G$20871,PERSALDATA!$A$2:$A$20871,WORKING!A114,PERSALDATA!$D$2:$D$20871,WORKING!B114,PERSALDATA!$E$2:$E$20871,WORKING!C114,PERSALDATA!$F$2:$F$20871,"S&amp;W: BASIC SALARY (RES)")</f>
        <v>2</v>
      </c>
      <c r="AC114" s="2">
        <f>SUMIFS(PERSALDATA!$H$2:$H$20871,PERSALDATA!$A$2:$A$20871,WORKING!A114,PERSALDATA!$D$2:$D$20871,WORKING!B114,PERSALDATA!$E$2:$E$20871,WORKING!C114)</f>
        <v>970718.94</v>
      </c>
    </row>
    <row r="115" spans="1:29" x14ac:dyDescent="0.25">
      <c r="A115" s="2">
        <f>Results!$D$3</f>
        <v>10</v>
      </c>
      <c r="B115" s="2">
        <v>7</v>
      </c>
      <c r="C115" s="2">
        <v>11</v>
      </c>
      <c r="D115" s="62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>0.70701405072411461</v>
      </c>
      <c r="E115" s="62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>4.9183615361936266E-2</v>
      </c>
      <c r="F115" s="62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>5.4616727552347366E-3</v>
      </c>
      <c r="G115" s="69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>0</v>
      </c>
      <c r="H115" s="62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>2.2368333322579328E-2</v>
      </c>
      <c r="I115" s="62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>9.1911475783198957E-2</v>
      </c>
      <c r="J115" s="62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>1.2452419239285336E-2</v>
      </c>
      <c r="K115" s="62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>1.1347666487176948E-4</v>
      </c>
      <c r="L115" s="62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>0</v>
      </c>
      <c r="M115" s="62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>0.111494956148779</v>
      </c>
      <c r="N115" s="62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>0</v>
      </c>
      <c r="O115" s="62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>0</v>
      </c>
      <c r="P115" s="62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>0</v>
      </c>
      <c r="Q115" s="62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>0</v>
      </c>
      <c r="R115" s="62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>0</v>
      </c>
      <c r="S115" s="62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>0</v>
      </c>
      <c r="T115" s="62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>0</v>
      </c>
      <c r="U115" s="62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>0</v>
      </c>
      <c r="V115" s="62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>0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1.4580847758859712E-2</v>
      </c>
      <c r="AB115" s="2">
        <f>SUMIFS(PERSALDATA!$G$2:$G$20871,PERSALDATA!$A$2:$A$20871,WORKING!A115,PERSALDATA!$D$2:$D$20871,WORKING!B115,PERSALDATA!$E$2:$E$20871,WORKING!C115,PERSALDATA!$F$2:$F$20871,"S&amp;W: BASIC SALARY (RES)")</f>
        <v>5</v>
      </c>
      <c r="AC115" s="2">
        <f>SUMIFS(PERSALDATA!$H$2:$H$20871,PERSALDATA!$A$2:$A$20871,WORKING!A115,PERSALDATA!$D$2:$D$20871,WORKING!B115,PERSALDATA!$E$2:$E$20871,WORKING!C115)</f>
        <v>3082572.09</v>
      </c>
    </row>
    <row r="116" spans="1:29" x14ac:dyDescent="0.25">
      <c r="A116" s="2">
        <f>Results!$D$3</f>
        <v>10</v>
      </c>
      <c r="B116" s="2">
        <v>7</v>
      </c>
      <c r="C116" s="2">
        <v>12</v>
      </c>
      <c r="D116" s="62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>0.70611717841410215</v>
      </c>
      <c r="E116" s="62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>5.7354062842783465E-2</v>
      </c>
      <c r="F116" s="62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>2.9415942058046183E-2</v>
      </c>
      <c r="G116" s="69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>0</v>
      </c>
      <c r="H116" s="62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>0</v>
      </c>
      <c r="I116" s="62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>9.179499657377814E-2</v>
      </c>
      <c r="J116" s="62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>2.3896548624398457E-2</v>
      </c>
      <c r="K116" s="62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>9.6141103959714264E-5</v>
      </c>
      <c r="L116" s="62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>0</v>
      </c>
      <c r="M116" s="62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>9.1325130382931871E-2</v>
      </c>
      <c r="N116" s="62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>0</v>
      </c>
      <c r="O116" s="62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>0</v>
      </c>
      <c r="P116" s="62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>0</v>
      </c>
      <c r="Q116" s="62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>0</v>
      </c>
      <c r="R116" s="62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>0</v>
      </c>
      <c r="S116" s="62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>0</v>
      </c>
      <c r="T116" s="62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>0</v>
      </c>
      <c r="U116" s="62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>0</v>
      </c>
      <c r="V116" s="62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>0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1.4557318752569911E-2</v>
      </c>
      <c r="AB116" s="2">
        <f>SUMIFS(PERSALDATA!$G$2:$G$20871,PERSALDATA!$A$2:$A$20871,WORKING!A116,PERSALDATA!$D$2:$D$20871,WORKING!B116,PERSALDATA!$E$2:$E$20871,WORKING!C116,PERSALDATA!$F$2:$F$20871,"S&amp;W: BASIC SALARY (RES)")</f>
        <v>3</v>
      </c>
      <c r="AC116" s="2">
        <f>SUMIFS(PERSALDATA!$H$2:$H$20871,PERSALDATA!$A$2:$A$20871,WORKING!A116,PERSALDATA!$D$2:$D$20871,WORKING!B116,PERSALDATA!$E$2:$E$20871,WORKING!C116)</f>
        <v>2243681.33</v>
      </c>
    </row>
    <row r="117" spans="1:29" x14ac:dyDescent="0.25">
      <c r="A117" s="2">
        <f>Results!$D$3</f>
        <v>10</v>
      </c>
      <c r="B117" s="2">
        <v>7</v>
      </c>
      <c r="C117" s="2">
        <v>13</v>
      </c>
      <c r="D117" s="62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>0.66092399877934216</v>
      </c>
      <c r="E117" s="62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>5.0049368963859982E-2</v>
      </c>
      <c r="F117" s="62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>0</v>
      </c>
      <c r="G117" s="69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>0</v>
      </c>
      <c r="H117" s="62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>1.6087319262648728E-2</v>
      </c>
      <c r="I117" s="62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>8.5919909043669876E-2</v>
      </c>
      <c r="J117" s="62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>7.0846568965032483E-3</v>
      </c>
      <c r="K117" s="62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>7.4259727405610689E-5</v>
      </c>
      <c r="L117" s="62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>0</v>
      </c>
      <c r="M117" s="62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>0.17594229458564387</v>
      </c>
      <c r="N117" s="62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>0</v>
      </c>
      <c r="O117" s="62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>0</v>
      </c>
      <c r="P117" s="62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>3.9181927409264556E-3</v>
      </c>
      <c r="Q117" s="62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>0</v>
      </c>
      <c r="R117" s="62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>0</v>
      </c>
      <c r="S117" s="62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>0</v>
      </c>
      <c r="T117" s="62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>0</v>
      </c>
      <c r="U117" s="62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>0</v>
      </c>
      <c r="V117" s="62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>0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1.4757576315149182E-2</v>
      </c>
      <c r="AB117" s="2">
        <f>SUMIFS(PERSALDATA!$G$2:$G$20871,PERSALDATA!$A$2:$A$20871,WORKING!A117,PERSALDATA!$D$2:$D$20871,WORKING!B117,PERSALDATA!$E$2:$E$20871,WORKING!C117,PERSALDATA!$F$2:$F$20871,"S&amp;W: BASIC SALARY (RES)")</f>
        <v>7</v>
      </c>
      <c r="AC117" s="2">
        <f>SUMIFS(PERSALDATA!$H$2:$H$20871,PERSALDATA!$A$2:$A$20871,WORKING!A117,PERSALDATA!$D$2:$D$20871,WORKING!B117,PERSALDATA!$E$2:$E$20871,WORKING!C117)</f>
        <v>6045133.9600000009</v>
      </c>
    </row>
    <row r="118" spans="1:29" x14ac:dyDescent="0.25">
      <c r="A118" s="2">
        <f>Results!$D$3</f>
        <v>10</v>
      </c>
      <c r="B118" s="2">
        <v>7</v>
      </c>
      <c r="C118" s="2">
        <v>14</v>
      </c>
      <c r="D118" s="62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>0.64617760599126139</v>
      </c>
      <c r="E118" s="62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>4.1442356464109091E-2</v>
      </c>
      <c r="F118" s="62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>4.4509311070815231E-2</v>
      </c>
      <c r="G118" s="69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>0</v>
      </c>
      <c r="H118" s="62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>9.5835923511415483E-3</v>
      </c>
      <c r="I118" s="62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>8.4002945478256749E-2</v>
      </c>
      <c r="J118" s="62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>0</v>
      </c>
      <c r="K118" s="62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>6.0402533413140781E-5</v>
      </c>
      <c r="L118" s="62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>0</v>
      </c>
      <c r="M118" s="62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>0.1669599843101916</v>
      </c>
      <c r="N118" s="62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>0</v>
      </c>
      <c r="O118" s="62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>7.2638018008113975E-3</v>
      </c>
      <c r="P118" s="62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>0</v>
      </c>
      <c r="Q118" s="62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>0</v>
      </c>
      <c r="R118" s="62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>0</v>
      </c>
      <c r="S118" s="62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>0</v>
      </c>
      <c r="T118" s="62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>0</v>
      </c>
      <c r="U118" s="62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>0</v>
      </c>
      <c r="V118" s="62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>0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1.4187700410669453E-2</v>
      </c>
      <c r="AB118" s="2">
        <f>SUMIFS(PERSALDATA!$G$2:$G$20871,PERSALDATA!$A$2:$A$20871,WORKING!A118,PERSALDATA!$D$2:$D$20871,WORKING!B118,PERSALDATA!$E$2:$E$20871,WORKING!C118,PERSALDATA!$F$2:$F$20871,"S&amp;W: BASIC SALARY (RES)")</f>
        <v>4</v>
      </c>
      <c r="AC118" s="2">
        <f>SUMIFS(PERSALDATA!$H$2:$H$20871,PERSALDATA!$A$2:$A$20871,WORKING!A118,PERSALDATA!$D$2:$D$20871,WORKING!B118,PERSALDATA!$E$2:$E$20871,WORKING!C118)</f>
        <v>4632918.2599999988</v>
      </c>
    </row>
    <row r="119" spans="1:29" x14ac:dyDescent="0.25">
      <c r="A119" s="2">
        <f>Results!$D$3</f>
        <v>10</v>
      </c>
      <c r="B119" s="2">
        <v>7</v>
      </c>
      <c r="C119" s="2">
        <v>15</v>
      </c>
      <c r="D119" s="62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>0.69135851522322112</v>
      </c>
      <c r="E119" s="62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>5.681709433432916E-2</v>
      </c>
      <c r="F119" s="62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>0</v>
      </c>
      <c r="G119" s="69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>0</v>
      </c>
      <c r="H119" s="62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>0</v>
      </c>
      <c r="I119" s="62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>8.9876381317270007E-2</v>
      </c>
      <c r="J119" s="62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>0</v>
      </c>
      <c r="K119" s="62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>4.8427288167734231E-5</v>
      </c>
      <c r="L119" s="62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>0</v>
      </c>
      <c r="M119" s="62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>0.14960274706491766</v>
      </c>
      <c r="N119" s="62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>0</v>
      </c>
      <c r="O119" s="62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>0</v>
      </c>
      <c r="P119" s="62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>1.2296834772094267E-2</v>
      </c>
      <c r="Q119" s="62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>0</v>
      </c>
      <c r="R119" s="62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>0</v>
      </c>
      <c r="S119" s="62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>0</v>
      </c>
      <c r="T119" s="62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>0</v>
      </c>
      <c r="U119" s="62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>0</v>
      </c>
      <c r="V119" s="62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>0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1.4999273590677481E-2</v>
      </c>
      <c r="AB119" s="2">
        <f>SUMIFS(PERSALDATA!$G$2:$G$20871,PERSALDATA!$A$2:$A$20871,WORKING!A119,PERSALDATA!$D$2:$D$20871,WORKING!B119,PERSALDATA!$E$2:$E$20871,WORKING!C119,PERSALDATA!$F$2:$F$20871,"S&amp;W: BASIC SALARY (RES)")</f>
        <v>1</v>
      </c>
      <c r="AC119" s="2">
        <f>SUMIFS(PERSALDATA!$H$2:$H$20871,PERSALDATA!$A$2:$A$20871,WORKING!A119,PERSALDATA!$D$2:$D$20871,WORKING!B119,PERSALDATA!$E$2:$E$20871,WORKING!C119)</f>
        <v>1444640.05</v>
      </c>
    </row>
    <row r="120" spans="1:29" x14ac:dyDescent="0.25">
      <c r="A120" s="2">
        <f>Results!$D$3</f>
        <v>10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10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10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10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10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10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10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10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10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10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10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10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10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10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10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10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10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10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10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10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10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10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10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10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10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10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10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10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10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10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10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10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10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10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10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10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10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10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10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10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10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10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10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10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10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10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10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10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10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10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10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10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10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10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10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10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10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10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10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10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10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10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10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10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10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10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10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10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10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10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10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10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10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10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10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10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10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10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10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10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10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10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10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10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10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10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10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10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10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10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10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10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10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10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10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10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10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10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10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10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10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10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10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10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10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10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10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10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10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10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10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10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10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10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10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10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10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10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10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10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10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10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10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10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10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10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10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10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10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10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10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10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10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10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10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10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10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10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10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10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10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10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10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10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10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10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10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10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10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10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10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10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10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10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10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E5" sqref="E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10</v>
      </c>
      <c r="E3" s="74" t="str">
        <f>INDEX(MAPs!$I$7:$J$54,MATCH(Results!$D$3,MAPs!$I$7:$I$54,0),2)</f>
        <v>Public Service And Administration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122.71532846715328</v>
      </c>
      <c r="N9" s="148">
        <f>IFERROR(SUMIFS('Employee Profile (2)'!C$4:C$50,'Employee Profile (2)'!$B$4:$B$50,Results!$D$3),"")</f>
        <v>0.26277372262773724</v>
      </c>
      <c r="O9" s="150" t="s">
        <v>620</v>
      </c>
      <c r="P9" s="143">
        <f>IFERROR(INDEX('Employee Profile (2)'!$AC$4:$AC$50,MATCH(Results!$D$3,'Employee Profile (2)'!$B$4:$B$50,0))*$Q9,"")</f>
        <v>293.15328467153284</v>
      </c>
      <c r="Q9" s="148">
        <f>IFERROR(SUMIFS('Employee Profile (2)'!J$4:J$50,'Employee Profile (2)'!$B$4:$B$50,Results!$D$3),"")</f>
        <v>0.62773722627737227</v>
      </c>
      <c r="R9" s="150" t="s">
        <v>627</v>
      </c>
      <c r="S9" s="144">
        <f>IFERROR(INDEX('Employee Profile (2)'!$AC$4:$AC$50,MATCH(Results!$D$3,'Employee Profile (2)'!$B$4:$B$50,0))*$T9,"")</f>
        <v>11.07846715328467</v>
      </c>
      <c r="T9" s="147">
        <f>IFERROR(SUMIFS('Employee Profile (2)'!N$4:N$50,'Employee Profile (2)'!$B$4:$B$50,Results!$D$3),"")</f>
        <v>2.3722627737226276E-2</v>
      </c>
      <c r="U9" s="150" t="s">
        <v>632</v>
      </c>
      <c r="V9" s="144">
        <f>IFERROR(INDEX('Employee Profile (2)'!$AC$4:$AC$50,MATCH(Results!$D$3,'Employee Profile (2)'!$B$4:$B$50,0))*$W9,"")</f>
        <v>224.97810218978103</v>
      </c>
      <c r="W9" s="147">
        <f>IFERROR(SUMIFS('Employee Profile (2)'!S$4:S$50,'Employee Profile (2)'!$B$4:$B$50,Results!$D$3),"")</f>
        <v>0.48175182481751827</v>
      </c>
      <c r="X9" s="150" t="s">
        <v>635</v>
      </c>
      <c r="Y9" s="144">
        <f>IFERROR(INDEX('Employee Profile (2)'!$AC$4:$AC$50,MATCH(Results!$D$3,'Employee Profile (2)'!$B$4:$B$50,0))*$Z9,"")</f>
        <v>335.76277372262774</v>
      </c>
      <c r="Z9" s="147">
        <f>IFERROR(SUMIFS('Employee Profile (2)'!V$4:V$50,'Employee Profile (2)'!$B$4:$B$50,Results!$D$3),"")</f>
        <v>0.71897810218978098</v>
      </c>
      <c r="AA9" s="150" t="s">
        <v>675</v>
      </c>
      <c r="AB9" s="144">
        <f>IFERROR(SUMIFS('Employee Profile (2)'!$AD$4:$AD$50,'Employee Profile (2)'!$B$4:$B$50,Results!$D$3),"")</f>
        <v>243</v>
      </c>
      <c r="AC9" s="147">
        <f>IFERROR(SUMIFS('Employee Profile (2)'!$AE$4:$AE$50,'Employee Profile (2)'!$B$4:$B$50,Results!$D$3),"")</f>
        <v>0.52034261241970026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5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189.18613138686132</v>
      </c>
      <c r="N10" s="148">
        <f>IFERROR(SUMIFS('Employee Profile (2)'!D$4:D$50,'Employee Profile (2)'!$B$4:$B$50,Results!$D$3),"")</f>
        <v>0.4051094890510949</v>
      </c>
      <c r="O10" s="150" t="s">
        <v>621</v>
      </c>
      <c r="P10" s="143">
        <f>IFERROR(INDEX('Employee Profile (2)'!$AC$4:$AC$50,MATCH(Results!$D$3,'Employee Profile (2)'!$B$4:$B$50,0))*$Q10,"")</f>
        <v>112.48905109489051</v>
      </c>
      <c r="Q10" s="148">
        <f>IFERROR(SUMIFS('Employee Profile (2)'!K$4:K$50,'Employee Profile (2)'!$B$4:$B$50,Results!$D$3),"")</f>
        <v>0.24087591240875914</v>
      </c>
      <c r="R10" s="150" t="s">
        <v>628</v>
      </c>
      <c r="S10" s="144">
        <f>IFERROR(INDEX('Employee Profile (2)'!$AC$4:$AC$50,MATCH(Results!$D$3,'Employee Profile (2)'!$B$4:$B$50,0))*$T10,"")</f>
        <v>117.60218978102191</v>
      </c>
      <c r="T10" s="147">
        <f>IFERROR(SUMIFS('Employee Profile (2)'!O$4:O$50,'Employee Profile (2)'!$B$4:$B$50,Results!$D$3),"")</f>
        <v>0.2518248175182482</v>
      </c>
      <c r="U10" s="150" t="s">
        <v>633</v>
      </c>
      <c r="V10" s="144">
        <f>IFERROR(INDEX('Employee Profile (2)'!$AC$4:$AC$50,MATCH(Results!$D$3,'Employee Profile (2)'!$B$4:$B$50,0))*$W10,"")</f>
        <v>168.73357664233578</v>
      </c>
      <c r="W10" s="147">
        <f>IFERROR(SUMIFS('Employee Profile (2)'!T$4:T$50,'Employee Profile (2)'!$B$4:$B$50,Results!$D$3),"")</f>
        <v>0.36131386861313869</v>
      </c>
      <c r="X10" s="150" t="s">
        <v>636</v>
      </c>
      <c r="Y10" s="144">
        <f>IFERROR(INDEX('Employee Profile (2)'!$AC$4:$AC$50,MATCH(Results!$D$3,'Employee Profile (2)'!$B$4:$B$50,0))*$Z10,"")</f>
        <v>12.782846715328468</v>
      </c>
      <c r="Z10" s="147">
        <f>IFERROR(SUMIFS('Employee Profile (2)'!W$4:W$50,'Employee Profile (2)'!$B$4:$B$50,Results!$D$3),"")</f>
        <v>2.7372262773722629E-2</v>
      </c>
      <c r="AA10" s="150" t="s">
        <v>676</v>
      </c>
      <c r="AB10" s="144">
        <f>IFERROR(INDEX('Employee Profile (2)'!$AC$4:$AC$50,MATCH(Results!$D$3,'Employee Profile (2)'!$B$4:$B$50))-$AB$9,"")</f>
        <v>224</v>
      </c>
      <c r="AC10" s="147">
        <f>IFERROR(100%-$AC$9,"")</f>
        <v>0.47965738758029974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45.166058394160586</v>
      </c>
      <c r="N11" s="148">
        <f>IFERROR(SUMIFS('Employee Profile (2)'!E$4:E$50,'Employee Profile (2)'!$B$4:$B$50,Results!$D$3),"")</f>
        <v>9.6715328467153291E-2</v>
      </c>
      <c r="O11" s="150" t="s">
        <v>622</v>
      </c>
      <c r="P11" s="143">
        <f>IFERROR(INDEX('Employee Profile (2)'!$AC$4:$AC$50,MATCH(Results!$D$3,'Employee Profile (2)'!$B$4:$B$50,0))*$Q11,"")</f>
        <v>41.757299270072991</v>
      </c>
      <c r="Q11" s="148">
        <f>IFERROR(SUMIFS('Employee Profile (2)'!L$4:L$50,'Employee Profile (2)'!$B$4:$B$50,Results!$D$3),"")</f>
        <v>8.9416058394160586E-2</v>
      </c>
      <c r="R11" s="150" t="s">
        <v>629</v>
      </c>
      <c r="S11" s="144">
        <f>IFERROR(INDEX('Employee Profile (2)'!$AC$4:$AC$50,MATCH(Results!$D$3,'Employee Profile (2)'!$B$4:$B$50,0))*$T11,"")</f>
        <v>161.91605839416056</v>
      </c>
      <c r="T11" s="147">
        <f>IFERROR(SUMIFS('Employee Profile (2)'!P$4:P$50,'Employee Profile (2)'!$B$4:$B$50,Results!$D$3),"")</f>
        <v>0.34671532846715325</v>
      </c>
      <c r="U11" s="150" t="s">
        <v>53</v>
      </c>
      <c r="V11" s="144">
        <f>IFERROR(INDEX('Employee Profile (2)'!$AC$4:$AC$50,MATCH(Results!$D$3,'Employee Profile (2)'!$B$4:$B$50,0))*$W11,"")</f>
        <v>73.288321167883211</v>
      </c>
      <c r="W11" s="147">
        <f>IFERROR(SUMIFS('Employee Profile (2)'!U$4:U$50,'Employee Profile (2)'!$B$4:$B$50,Results!$D$3),"")</f>
        <v>0.15693430656934307</v>
      </c>
      <c r="X11" s="150" t="s">
        <v>637</v>
      </c>
      <c r="Y11" s="144">
        <f>IFERROR(INDEX('Employee Profile (2)'!$AC$4:$AC$50,MATCH(Results!$D$3,'Employee Profile (2)'!$B$4:$B$50,0))*$Z11,"")</f>
        <v>11.930656934306569</v>
      </c>
      <c r="Z11" s="147">
        <f>IFERROR(SUMIFS('Employee Profile (2)'!X$4:X$50,'Employee Profile (2)'!$B$4:$B$50,Results!$D$3),"")</f>
        <v>2.5547445255474453E-2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3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25.565693430656935</v>
      </c>
      <c r="N12" s="148">
        <f>IFERROR(SUMIFS('Employee Profile (2)'!F$4:F$50,'Employee Profile (2)'!$B$4:$B$50,Results!$D$3),"")</f>
        <v>5.4744525547445258E-2</v>
      </c>
      <c r="O12" s="150" t="s">
        <v>623</v>
      </c>
      <c r="P12" s="143">
        <f>IFERROR(INDEX('Employee Profile (2)'!$AC$4:$AC$50,MATCH(Results!$D$3,'Employee Profile (2)'!$B$4:$B$50,0))*$Q12,"")</f>
        <v>19.600364963503647</v>
      </c>
      <c r="Q12" s="148">
        <f>IFERROR(SUMIFS('Employee Profile (2)'!M$4:M$50,'Employee Profile (2)'!$B$4:$B$50,Results!$D$3),"")</f>
        <v>4.1970802919708027E-2</v>
      </c>
      <c r="R12" s="150" t="s">
        <v>630</v>
      </c>
      <c r="S12" s="144">
        <f>IFERROR(INDEX('Employee Profile (2)'!$AC$4:$AC$50,MATCH(Results!$D$3,'Employee Profile (2)'!$B$4:$B$50,0))*$T12,"")</f>
        <v>14.487226277372264</v>
      </c>
      <c r="T12" s="147">
        <f>IFERROR(SUMIFS('Employee Profile (2)'!Q$4:Q$50,'Employee Profile (2)'!$B$4:$B$50,Results!$D$3),"")</f>
        <v>3.1021897810218978E-2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33.23540145985401</v>
      </c>
      <c r="Z12" s="147">
        <f>IFERROR(SUMIFS('Employee Profile (2)'!Y$4:Y$50,'Employee Profile (2)'!$B$4:$B$50,Results!$D$3),"")</f>
        <v>7.1167883211678828E-2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28</v>
      </c>
      <c r="H13" s="158">
        <v>17</v>
      </c>
      <c r="I13" s="158">
        <v>17</v>
      </c>
      <c r="J13" s="158">
        <v>1</v>
      </c>
      <c r="L13" s="150" t="s">
        <v>660</v>
      </c>
      <c r="M13" s="143">
        <f>IFERROR(INDEX('Employee Profile (2)'!$AC$4:$AC$50,MATCH(Results!$D$3,'Employee Profile (2)'!$B$4:$B$50,0))*$N13,"")</f>
        <v>11.07846715328467</v>
      </c>
      <c r="N13" s="148">
        <f>IFERROR(SUMIFS('Employee Profile (2)'!G$4:G$50,'Employee Profile (2)'!$B$4:$B$50,Results!$D$3),"")</f>
        <v>2.3722627737226276E-2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161.91605839416059</v>
      </c>
      <c r="T13" s="147">
        <f>IFERROR(SUMIFS('Employee Profile (2)'!R$4:R$50,'Employee Profile (2)'!$B$4:$B$50,Results!$D$3),"")</f>
        <v>0.34671532846715331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73.288321167883211</v>
      </c>
      <c r="Z13" s="147">
        <f>IFERROR(SUMIFS('Employee Profile (2)'!Z$4:Z$50,'Employee Profile (2)'!$B$4:$B$50,Results!$D$3),"")</f>
        <v>0.15693430656934307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0.8521897810218978</v>
      </c>
      <c r="N14" s="148">
        <f>IFERROR(SUMIFS('Employee Profile (2)'!H$4:H$50,'Employee Profile (2)'!$B$4:$B$50,Results!$D$3),"")</f>
        <v>1.8248175182481751E-3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33</v>
      </c>
      <c r="H15" s="112">
        <f t="shared" ref="H15:J15" si="0">SUM(H9:H14)</f>
        <v>20</v>
      </c>
      <c r="I15" s="112">
        <f t="shared" si="0"/>
        <v>17</v>
      </c>
      <c r="J15" s="112">
        <f t="shared" si="0"/>
        <v>1</v>
      </c>
      <c r="L15" s="150" t="s">
        <v>53</v>
      </c>
      <c r="M15" s="143">
        <f>IFERROR(INDEX('Employee Profile (2)'!$AC$4:$AC$50,MATCH(Results!$D$3,'Employee Profile (2)'!$B$4:$B$50,0))*$N15,"")</f>
        <v>72.436131386861319</v>
      </c>
      <c r="N15" s="148">
        <f>IFERROR(SUMIFS('Employee Profile (2)'!I$4:I$50,'Employee Profile (2)'!$B$4:$B$50,Results!$D$3),"")</f>
        <v>0.1551094890510949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33</v>
      </c>
      <c r="H16" s="82">
        <f>SUMIFS($W$64:$W$509,$C$64:$C$509,"Total")</f>
        <v>20</v>
      </c>
      <c r="I16" s="82">
        <f>SUMIFS($AE$64:$AE$509,$C$64:$C$509,"Total")</f>
        <v>17</v>
      </c>
      <c r="J16" s="82">
        <f>SUMIFS($AM$64:$AM$509,$C$64:$C$509,"Total")</f>
        <v>1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243</v>
      </c>
      <c r="G29" s="87">
        <f t="shared" ref="G29:G44" si="4">SUMIFS($K$64:$K$509,$A$64:$A$509,B29,$C$64:$C$509,"Total")</f>
        <v>414.67078189300412</v>
      </c>
      <c r="H29" s="83">
        <f t="shared" ref="H29:H44" si="5">SUMIFS($J$64:$J$509,$A$64:$A$509,B29,$C$64:$C$509,"Total")</f>
        <v>100765</v>
      </c>
      <c r="I29" s="21">
        <f t="shared" ref="I29:I44" si="6">-SUMIFS($O$64:$O$509,$A$64:$A$509,$B29,$C$64:$C$509,"Total")+SUMIFS($N$64:$N$509,$A$64:$A$509,$B29,$C$64:$C$509,"Total")</f>
        <v>10</v>
      </c>
      <c r="J29" s="88">
        <f t="shared" ref="J29:J44" si="7">SUMIFS($P$64:$P$509,$A$64:$A$509,$B29,$C$64:$C$509,"Total")</f>
        <v>253</v>
      </c>
      <c r="K29" s="88">
        <f t="shared" ref="K29:K44" si="8">SUMIFS($M$64:$M$509,$A$64:$A$509,$B29,$C$64:$C$509,"Total")</f>
        <v>458.72316618100774</v>
      </c>
      <c r="L29" s="88">
        <f t="shared" ref="L29:L44" si="9">SUMIFS($R$64:$R$509,$A$64:$A$509,$B29,$C$64:$C$509,"Total")+SUMIFS($Q$64:$Q$509,$A$64:$A$509,$B29,$C$64:$C$509,"Total")</f>
        <v>7600.9740424842757</v>
      </c>
      <c r="M29" s="88">
        <f t="shared" ref="M29:M44" si="10">SUMIFS($S$64:$S$509,$A$64:$A$509,$B29,$C$64:$C$509,"Total")</f>
        <v>116056.96104379496</v>
      </c>
      <c r="N29" s="88">
        <f t="shared" ref="N29:N44" si="11">SUMIFS($S$64:$S$509,$A$64:$A$509,$B29,$C$64:$C$509,"Compensation Budget")</f>
        <v>112158</v>
      </c>
      <c r="O29" s="89">
        <f t="shared" ref="O29:O44" si="12">SUMIFS($S$64:$S$509,$A$64:$A$509,$B29,$C$64:$C$509,"Under/(Over)")</f>
        <v>-3898.9610437949596</v>
      </c>
      <c r="P29" s="21">
        <f t="shared" ref="P29:P44" si="13">-SUMIFS($W$64:$W$509,$A$64:$A$509,$B29,$C$64:$C$509,"Total")+SUMIFS($V$64:$V$509,$A$64:$A$509,$B29,$C$64:$C$509,"Total")</f>
        <v>-11</v>
      </c>
      <c r="Q29" s="88">
        <f t="shared" ref="Q29:Q44" si="14">SUMIFS($X$64:$X$509,$A$64:$A$509,$B29,$C$64:$C$509,"Total")</f>
        <v>242</v>
      </c>
      <c r="R29" s="88">
        <f t="shared" ref="R29:R44" si="15">SUMIFS($U$64:$U$509,$A$64:$A$509,$B29,$C$64:$C$509,"Total")</f>
        <v>488.0158681021087</v>
      </c>
      <c r="S29" s="88">
        <f t="shared" ref="S29:S44" si="16">SUMIFS($Z$64:$Z$509,$A$64:$A$509,$B29,$C$64:$C$509,"Total")+SUMIFS($Y$64:$Y$509,$A$64:$A$509,$B29,$C$64:$C$509,"Total")</f>
        <v>-7433.053317032487</v>
      </c>
      <c r="T29" s="88">
        <f t="shared" ref="T29:T44" si="17">SUMIFS($AA$64:$AA$509,$A$64:$A$509,$B29,$C$64:$C$509,"Total")</f>
        <v>118099.8400807103</v>
      </c>
      <c r="U29" s="88">
        <f t="shared" ref="U29:U44" si="18">SUMIFS($AA$64:$AA$509,$A$64:$A$509,$B29,$C$64:$C$509,"Compensation Budget")</f>
        <v>115201</v>
      </c>
      <c r="V29" s="89">
        <f t="shared" ref="V29:V44" si="19">SUMIFS($AA$64:$AA$509,$A$64:$A$509,$B29,$C$64:$C$509,"Under/(Over)")</f>
        <v>-2898.8400807103026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242</v>
      </c>
      <c r="Y29" s="88">
        <f t="shared" ref="Y29:Y44" si="22">SUMIFS($AC$64:$AC$509,$A$64:$A$509,$B29,$C$64:$C$509,"Total")</f>
        <v>527.17570035801316</v>
      </c>
      <c r="Z29" s="88">
        <f t="shared" ref="Z29:Z44" si="23">SUMIFS($AH$64:$AH$509,$A$64:$A$509,$B29,$C$64:$C$509,"Total")+SUMIFS($AG$64:$AG$509,$A$64:$A$509,$B29,$C$64:$C$509,"Total")</f>
        <v>-61.351497951863763</v>
      </c>
      <c r="AA29" s="88">
        <f t="shared" ref="AA29:AA44" si="24">SUMIFS($AI$64:$AI$509,$A$64:$A$509,$B29,$C$64:$C$509,"Total")</f>
        <v>127576.51948663918</v>
      </c>
      <c r="AB29" s="88">
        <f t="shared" ref="AB29:AB44" si="25">SUMIFS($AI$64:$AI$509,$A$64:$A$509,$B29,$C$64:$C$509,"Compensation Budget")</f>
        <v>120885</v>
      </c>
      <c r="AC29" s="89">
        <f t="shared" ref="AC29:AC44" si="26">SUMIFS($AI$64:$AI$509,$A$64:$A$509,$B29,$C$64:$C$509,"Under/(Over)")</f>
        <v>-6691.519486639183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241</v>
      </c>
      <c r="AF29" s="88">
        <f t="shared" ref="AF29:AF44" si="29">SUMIFS($AK$64:$AK$509,$A$64:$A$509,$B29,$C$64:$C$509,"Total")</f>
        <v>570.04718434328936</v>
      </c>
      <c r="AG29" s="88">
        <f t="shared" ref="AG29:AG44" si="30">SUMIFS($AP$64:$AP$509,$A$64:$A$509,$B29,$C$64:$C$509,"Total")+SUMIFS($AO$64:$AO$509,$A$64:$A$509,$B29,$C$64:$C$509,"Total")</f>
        <v>-243.97430000390676</v>
      </c>
      <c r="AH29" s="88">
        <f t="shared" ref="AH29:AH44" si="31">SUMIFS($AQ$64:$AQ$509,$A$64:$A$509,$B29,$C$64:$C$509,"Total")</f>
        <v>137381.37142673275</v>
      </c>
      <c r="AI29" s="88">
        <f t="shared" ref="AI29:AI44" si="32">SUMIFS($AQ$64:$AQ$509,$A$64:$A$509,$B29,$C$64:$C$509,"Compensation Budget")</f>
        <v>130072.26000000001</v>
      </c>
      <c r="AJ29" s="89">
        <f t="shared" ref="AJ29:AJ44" si="33">SUMIFS($AQ$64:$AQ$509,$A$64:$A$509,$B29,$C$64:$C$509,"Under/(Over)")</f>
        <v>-7309.1114267327357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Policy Development, Research and Analysis</v>
      </c>
      <c r="D30" s="222">
        <f t="shared" si="2"/>
        <v>0</v>
      </c>
      <c r="E30" s="223">
        <f t="shared" si="2"/>
        <v>0</v>
      </c>
      <c r="F30" s="80">
        <f t="shared" si="3"/>
        <v>43</v>
      </c>
      <c r="G30" s="155">
        <f t="shared" si="4"/>
        <v>540.58139534883719</v>
      </c>
      <c r="H30" s="155">
        <f t="shared" si="5"/>
        <v>23245</v>
      </c>
      <c r="I30" s="23">
        <f t="shared" si="6"/>
        <v>0</v>
      </c>
      <c r="J30" s="22">
        <f t="shared" si="7"/>
        <v>43</v>
      </c>
      <c r="K30" s="22">
        <f t="shared" si="8"/>
        <v>560.27435285363401</v>
      </c>
      <c r="L30" s="22">
        <f t="shared" si="9"/>
        <v>-706.03033398152684</v>
      </c>
      <c r="M30" s="22">
        <f t="shared" si="10"/>
        <v>24091.797172706265</v>
      </c>
      <c r="N30" s="22">
        <f t="shared" si="11"/>
        <v>22520</v>
      </c>
      <c r="O30" s="91">
        <f t="shared" si="12"/>
        <v>-1571.797172706265</v>
      </c>
      <c r="P30" s="23">
        <f t="shared" si="13"/>
        <v>0</v>
      </c>
      <c r="Q30" s="22">
        <f t="shared" si="14"/>
        <v>43</v>
      </c>
      <c r="R30" s="22">
        <f t="shared" si="15"/>
        <v>605.47302293023893</v>
      </c>
      <c r="S30" s="22">
        <f t="shared" si="16"/>
        <v>0</v>
      </c>
      <c r="T30" s="22">
        <f t="shared" si="17"/>
        <v>26035.339986000272</v>
      </c>
      <c r="U30" s="22">
        <f t="shared" si="18"/>
        <v>24334</v>
      </c>
      <c r="V30" s="91">
        <f t="shared" si="19"/>
        <v>-1701.3399860002719</v>
      </c>
      <c r="W30" s="23">
        <f t="shared" si="20"/>
        <v>0</v>
      </c>
      <c r="X30" s="22">
        <f t="shared" si="21"/>
        <v>43</v>
      </c>
      <c r="Y30" s="22">
        <f t="shared" si="22"/>
        <v>653.71740873512965</v>
      </c>
      <c r="Z30" s="22">
        <f t="shared" si="23"/>
        <v>0</v>
      </c>
      <c r="AA30" s="22">
        <f t="shared" si="24"/>
        <v>28109.848575610573</v>
      </c>
      <c r="AB30" s="22">
        <f t="shared" si="25"/>
        <v>26052</v>
      </c>
      <c r="AC30" s="91">
        <f t="shared" si="26"/>
        <v>-2057.8485756105729</v>
      </c>
      <c r="AD30" s="23">
        <f t="shared" si="27"/>
        <v>0</v>
      </c>
      <c r="AE30" s="22">
        <f t="shared" si="28"/>
        <v>43</v>
      </c>
      <c r="AF30" s="22">
        <f t="shared" si="29"/>
        <v>704.4942269531773</v>
      </c>
      <c r="AG30" s="22">
        <f t="shared" si="30"/>
        <v>0</v>
      </c>
      <c r="AH30" s="22">
        <f t="shared" si="31"/>
        <v>30293.251758986626</v>
      </c>
      <c r="AI30" s="22">
        <f t="shared" si="32"/>
        <v>28031.952000000001</v>
      </c>
      <c r="AJ30" s="91">
        <f t="shared" si="33"/>
        <v>-2261.2997589866245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Labour Relations and Human Resource Management</v>
      </c>
      <c r="D31" s="222">
        <f t="shared" si="2"/>
        <v>0</v>
      </c>
      <c r="E31" s="223">
        <f t="shared" si="2"/>
        <v>0</v>
      </c>
      <c r="F31" s="80">
        <f t="shared" si="3"/>
        <v>83</v>
      </c>
      <c r="G31" s="155">
        <f t="shared" si="4"/>
        <v>559.26506024096386</v>
      </c>
      <c r="H31" s="155">
        <f t="shared" si="5"/>
        <v>46419</v>
      </c>
      <c r="I31" s="23">
        <f t="shared" si="6"/>
        <v>-4</v>
      </c>
      <c r="J31" s="22">
        <f t="shared" si="7"/>
        <v>79</v>
      </c>
      <c r="K31" s="22">
        <f t="shared" si="8"/>
        <v>612.95656837818944</v>
      </c>
      <c r="L31" s="22">
        <f t="shared" si="9"/>
        <v>-1380.7545817944601</v>
      </c>
      <c r="M31" s="22">
        <f t="shared" si="10"/>
        <v>48423.568901876963</v>
      </c>
      <c r="N31" s="22">
        <f t="shared" si="11"/>
        <v>58116</v>
      </c>
      <c r="O31" s="91">
        <f t="shared" si="12"/>
        <v>9692.4310981230374</v>
      </c>
      <c r="P31" s="23">
        <f t="shared" si="13"/>
        <v>-3</v>
      </c>
      <c r="Q31" s="22">
        <f t="shared" si="14"/>
        <v>76</v>
      </c>
      <c r="R31" s="22">
        <f t="shared" si="15"/>
        <v>657.15286653011731</v>
      </c>
      <c r="S31" s="22">
        <f t="shared" si="16"/>
        <v>-2398.2850062760867</v>
      </c>
      <c r="T31" s="22">
        <f t="shared" si="17"/>
        <v>49943.617856288918</v>
      </c>
      <c r="U31" s="22">
        <f t="shared" si="18"/>
        <v>54095</v>
      </c>
      <c r="V31" s="91">
        <f t="shared" si="19"/>
        <v>4151.3821437110819</v>
      </c>
      <c r="W31" s="23">
        <f t="shared" si="20"/>
        <v>-16</v>
      </c>
      <c r="X31" s="22">
        <f t="shared" si="21"/>
        <v>60</v>
      </c>
      <c r="Y31" s="22">
        <f t="shared" si="22"/>
        <v>752.7096109761751</v>
      </c>
      <c r="Z31" s="22">
        <f t="shared" si="23"/>
        <v>-8785.1679635898745</v>
      </c>
      <c r="AA31" s="22">
        <f t="shared" si="24"/>
        <v>45162.576658570506</v>
      </c>
      <c r="AB31" s="22">
        <f t="shared" si="25"/>
        <v>54294</v>
      </c>
      <c r="AC31" s="91">
        <f t="shared" si="26"/>
        <v>9131.423341429494</v>
      </c>
      <c r="AD31" s="23">
        <f t="shared" si="27"/>
        <v>0</v>
      </c>
      <c r="AE31" s="22">
        <f t="shared" si="28"/>
        <v>60</v>
      </c>
      <c r="AF31" s="22">
        <f t="shared" si="29"/>
        <v>811.95437520049506</v>
      </c>
      <c r="AG31" s="22">
        <f t="shared" si="30"/>
        <v>0</v>
      </c>
      <c r="AH31" s="22">
        <f t="shared" si="31"/>
        <v>48717.262512029702</v>
      </c>
      <c r="AI31" s="22">
        <f t="shared" si="32"/>
        <v>58420.344000000005</v>
      </c>
      <c r="AJ31" s="91">
        <f t="shared" si="33"/>
        <v>9703.081487970303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Government Chief Information Officer</v>
      </c>
      <c r="D32" s="222">
        <f t="shared" si="2"/>
        <v>0</v>
      </c>
      <c r="E32" s="223">
        <f t="shared" si="2"/>
        <v>0</v>
      </c>
      <c r="F32" s="80">
        <f t="shared" si="3"/>
        <v>23</v>
      </c>
      <c r="G32" s="155">
        <f t="shared" si="4"/>
        <v>605.6521739130435</v>
      </c>
      <c r="H32" s="155">
        <f t="shared" si="5"/>
        <v>13930</v>
      </c>
      <c r="I32" s="23">
        <f t="shared" si="6"/>
        <v>2</v>
      </c>
      <c r="J32" s="22">
        <f t="shared" si="7"/>
        <v>25</v>
      </c>
      <c r="K32" s="22">
        <f t="shared" si="8"/>
        <v>682.57726160786933</v>
      </c>
      <c r="L32" s="22">
        <f t="shared" si="9"/>
        <v>2326.9420648434166</v>
      </c>
      <c r="M32" s="22">
        <f t="shared" si="10"/>
        <v>17064.431540196732</v>
      </c>
      <c r="N32" s="22">
        <f t="shared" si="11"/>
        <v>14814</v>
      </c>
      <c r="O32" s="91">
        <f t="shared" si="12"/>
        <v>-2250.4315401967324</v>
      </c>
      <c r="P32" s="23">
        <f t="shared" si="13"/>
        <v>-1</v>
      </c>
      <c r="Q32" s="22">
        <f t="shared" si="14"/>
        <v>24</v>
      </c>
      <c r="R32" s="22">
        <f t="shared" si="15"/>
        <v>729.26773212429919</v>
      </c>
      <c r="S32" s="22">
        <f t="shared" si="16"/>
        <v>-846.320450308712</v>
      </c>
      <c r="T32" s="22">
        <f t="shared" si="17"/>
        <v>17502.425570983181</v>
      </c>
      <c r="U32" s="22">
        <f t="shared" si="18"/>
        <v>15905</v>
      </c>
      <c r="V32" s="91">
        <f t="shared" si="19"/>
        <v>-1597.4255709831814</v>
      </c>
      <c r="W32" s="23">
        <f t="shared" si="20"/>
        <v>0</v>
      </c>
      <c r="X32" s="22">
        <f t="shared" si="21"/>
        <v>24</v>
      </c>
      <c r="Y32" s="22">
        <f t="shared" si="22"/>
        <v>783.47395529359085</v>
      </c>
      <c r="Z32" s="22">
        <f t="shared" si="23"/>
        <v>0</v>
      </c>
      <c r="AA32" s="22">
        <f t="shared" si="24"/>
        <v>18803.374927046181</v>
      </c>
      <c r="AB32" s="22">
        <f t="shared" si="25"/>
        <v>16919</v>
      </c>
      <c r="AC32" s="91">
        <f t="shared" si="26"/>
        <v>-1884.3749270461813</v>
      </c>
      <c r="AD32" s="23">
        <f t="shared" si="27"/>
        <v>0</v>
      </c>
      <c r="AE32" s="22">
        <f t="shared" si="28"/>
        <v>24</v>
      </c>
      <c r="AF32" s="22">
        <f t="shared" si="29"/>
        <v>840.18105875943331</v>
      </c>
      <c r="AG32" s="22">
        <f t="shared" si="30"/>
        <v>0</v>
      </c>
      <c r="AH32" s="22">
        <f t="shared" si="31"/>
        <v>20164.3454102264</v>
      </c>
      <c r="AI32" s="22">
        <f t="shared" si="32"/>
        <v>18204.844000000001</v>
      </c>
      <c r="AJ32" s="91">
        <f t="shared" si="33"/>
        <v>-1959.5014102263995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Service Delivery Support</v>
      </c>
      <c r="D33" s="222">
        <f t="shared" si="2"/>
        <v>0</v>
      </c>
      <c r="E33" s="223">
        <f t="shared" si="2"/>
        <v>0</v>
      </c>
      <c r="F33" s="80">
        <f t="shared" si="3"/>
        <v>45</v>
      </c>
      <c r="G33" s="155">
        <f t="shared" si="4"/>
        <v>578.51111111111106</v>
      </c>
      <c r="H33" s="155">
        <f t="shared" si="5"/>
        <v>26033</v>
      </c>
      <c r="I33" s="23">
        <f t="shared" si="6"/>
        <v>3</v>
      </c>
      <c r="J33" s="22">
        <f t="shared" si="7"/>
        <v>48</v>
      </c>
      <c r="K33" s="22">
        <f t="shared" si="8"/>
        <v>619.03443440365606</v>
      </c>
      <c r="L33" s="22">
        <f t="shared" si="9"/>
        <v>3148.7579228233035</v>
      </c>
      <c r="M33" s="22">
        <f t="shared" si="10"/>
        <v>29713.652851375489</v>
      </c>
      <c r="N33" s="22">
        <f t="shared" si="11"/>
        <v>30013</v>
      </c>
      <c r="O33" s="91">
        <f t="shared" si="12"/>
        <v>299.34714862451074</v>
      </c>
      <c r="P33" s="23">
        <f t="shared" si="13"/>
        <v>-4</v>
      </c>
      <c r="Q33" s="22">
        <f t="shared" si="14"/>
        <v>44</v>
      </c>
      <c r="R33" s="22">
        <f t="shared" si="15"/>
        <v>671.53317364111388</v>
      </c>
      <c r="S33" s="22">
        <f t="shared" si="16"/>
        <v>-2559.4098279062578</v>
      </c>
      <c r="T33" s="22">
        <f t="shared" si="17"/>
        <v>29547.45964020901</v>
      </c>
      <c r="U33" s="22">
        <f t="shared" si="18"/>
        <v>31412</v>
      </c>
      <c r="V33" s="91">
        <f t="shared" si="19"/>
        <v>1864.5403597909899</v>
      </c>
      <c r="W33" s="23">
        <f t="shared" si="20"/>
        <v>0</v>
      </c>
      <c r="X33" s="22">
        <f t="shared" si="21"/>
        <v>44</v>
      </c>
      <c r="Y33" s="22">
        <f t="shared" si="22"/>
        <v>725.08225873441813</v>
      </c>
      <c r="Z33" s="22">
        <f t="shared" si="23"/>
        <v>0</v>
      </c>
      <c r="AA33" s="22">
        <f t="shared" si="24"/>
        <v>31903.619384314399</v>
      </c>
      <c r="AB33" s="22">
        <f t="shared" si="25"/>
        <v>33479</v>
      </c>
      <c r="AC33" s="91">
        <f t="shared" si="26"/>
        <v>1575.3806156856008</v>
      </c>
      <c r="AD33" s="23">
        <f t="shared" si="27"/>
        <v>0</v>
      </c>
      <c r="AE33" s="22">
        <f t="shared" si="28"/>
        <v>44</v>
      </c>
      <c r="AF33" s="22">
        <f t="shared" si="29"/>
        <v>781.44795037139602</v>
      </c>
      <c r="AG33" s="22">
        <f t="shared" si="30"/>
        <v>0</v>
      </c>
      <c r="AH33" s="22">
        <f t="shared" si="31"/>
        <v>34383.709816341427</v>
      </c>
      <c r="AI33" s="22">
        <f t="shared" si="32"/>
        <v>36023.404000000002</v>
      </c>
      <c r="AJ33" s="91">
        <f t="shared" si="33"/>
        <v>1639.6941836585756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Governance of Public Administration</v>
      </c>
      <c r="D34" s="222">
        <f t="shared" si="2"/>
        <v>0</v>
      </c>
      <c r="E34" s="223">
        <f t="shared" si="2"/>
        <v>0</v>
      </c>
      <c r="F34" s="80">
        <f t="shared" si="3"/>
        <v>47</v>
      </c>
      <c r="G34" s="155">
        <f t="shared" si="4"/>
        <v>683.87234042553189</v>
      </c>
      <c r="H34" s="155">
        <f t="shared" si="5"/>
        <v>32142</v>
      </c>
      <c r="I34" s="23">
        <f t="shared" si="6"/>
        <v>-4</v>
      </c>
      <c r="J34" s="22">
        <f t="shared" si="7"/>
        <v>43</v>
      </c>
      <c r="K34" s="22">
        <f t="shared" si="8"/>
        <v>723.9941553227427</v>
      </c>
      <c r="L34" s="22">
        <f t="shared" si="9"/>
        <v>-3267.9456364070561</v>
      </c>
      <c r="M34" s="22">
        <f t="shared" si="10"/>
        <v>31131.748678877935</v>
      </c>
      <c r="N34" s="22">
        <f t="shared" si="11"/>
        <v>35193</v>
      </c>
      <c r="O34" s="91">
        <f t="shared" si="12"/>
        <v>4061.2513211220648</v>
      </c>
      <c r="P34" s="23">
        <f t="shared" si="13"/>
        <v>0</v>
      </c>
      <c r="Q34" s="22">
        <f t="shared" si="14"/>
        <v>43</v>
      </c>
      <c r="R34" s="22">
        <f t="shared" si="15"/>
        <v>781.86305114700656</v>
      </c>
      <c r="S34" s="22">
        <f t="shared" si="16"/>
        <v>0</v>
      </c>
      <c r="T34" s="22">
        <f t="shared" si="17"/>
        <v>33620.111199321283</v>
      </c>
      <c r="U34" s="22">
        <f t="shared" si="18"/>
        <v>37830</v>
      </c>
      <c r="V34" s="91">
        <f t="shared" si="19"/>
        <v>4209.8888006787165</v>
      </c>
      <c r="W34" s="23">
        <f t="shared" si="20"/>
        <v>0</v>
      </c>
      <c r="X34" s="22">
        <f t="shared" si="21"/>
        <v>43</v>
      </c>
      <c r="Y34" s="22">
        <f t="shared" si="22"/>
        <v>843.58656079779303</v>
      </c>
      <c r="Z34" s="22">
        <f t="shared" si="23"/>
        <v>0</v>
      </c>
      <c r="AA34" s="22">
        <f t="shared" si="24"/>
        <v>36274.222114305099</v>
      </c>
      <c r="AB34" s="22">
        <f t="shared" si="25"/>
        <v>40292</v>
      </c>
      <c r="AC34" s="91">
        <f t="shared" si="26"/>
        <v>4017.7778856949008</v>
      </c>
      <c r="AD34" s="23">
        <f t="shared" si="27"/>
        <v>0</v>
      </c>
      <c r="AE34" s="22">
        <f t="shared" si="28"/>
        <v>43</v>
      </c>
      <c r="AF34" s="22">
        <f t="shared" si="29"/>
        <v>908.4960347391966</v>
      </c>
      <c r="AG34" s="22">
        <f t="shared" si="30"/>
        <v>0</v>
      </c>
      <c r="AH34" s="22">
        <f t="shared" si="31"/>
        <v>39065.329493785452</v>
      </c>
      <c r="AI34" s="22">
        <f t="shared" si="32"/>
        <v>43354.192000000003</v>
      </c>
      <c r="AJ34" s="91">
        <f t="shared" si="33"/>
        <v>4288.8625062145511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484</v>
      </c>
      <c r="G45" s="92">
        <f>IFERROR(H45/F45,0)</f>
        <v>501.10330578512395</v>
      </c>
      <c r="H45" s="92">
        <f>SUM(H29:H38)</f>
        <v>242534</v>
      </c>
      <c r="I45" s="25">
        <f>SUM(I29:I38)</f>
        <v>7</v>
      </c>
      <c r="J45" s="92">
        <f>SUM(J29:J38)</f>
        <v>491</v>
      </c>
      <c r="K45" s="92">
        <f>IFERROR(M45/J45,0)</f>
        <v>542.7335238061678</v>
      </c>
      <c r="L45" s="92">
        <f t="shared" ref="L45:Q45" si="34">SUM(L29:L38)</f>
        <v>7721.9434779679523</v>
      </c>
      <c r="M45" s="92">
        <f t="shared" si="34"/>
        <v>266482.16018882836</v>
      </c>
      <c r="N45" s="92">
        <f>INDEX('ENE17'!$C$2:$C$48,MATCH(Results!$D$3,'ENE17'!$A$2:$A$48,0))</f>
        <v>270469</v>
      </c>
      <c r="O45" s="129">
        <f>N45-M45</f>
        <v>3986.8398111716378</v>
      </c>
      <c r="P45" s="25">
        <f t="shared" si="34"/>
        <v>-19</v>
      </c>
      <c r="Q45" s="24">
        <f t="shared" si="34"/>
        <v>472</v>
      </c>
      <c r="R45" s="92">
        <f>IFERROR(T45/Q45,0)</f>
        <v>582.09490324896808</v>
      </c>
      <c r="S45" s="24">
        <f>SUM(S29:S38)</f>
        <v>-13237.068601523544</v>
      </c>
      <c r="T45" s="24">
        <f>SUM(T29:T38)</f>
        <v>274748.79433351295</v>
      </c>
      <c r="U45" s="207">
        <f>INDEX('ENE17'!$D$2:$D$48,MATCH(Results!$D$3,'ENE17'!$A$2:$A$48,0))</f>
        <v>275711</v>
      </c>
      <c r="V45" s="24">
        <f>U45-T45</f>
        <v>962.20566648704698</v>
      </c>
      <c r="W45" s="25">
        <f t="shared" ref="W45:X45" si="35">SUM(W29:W38)</f>
        <v>-16</v>
      </c>
      <c r="X45" s="24">
        <f t="shared" si="35"/>
        <v>456</v>
      </c>
      <c r="Y45" s="92">
        <f>IFERROR(AA45/X45,0)</f>
        <v>631.20649374229379</v>
      </c>
      <c r="Z45" s="24">
        <f t="shared" ref="Z45:AA45" si="36">SUM(Z29:Z38)</f>
        <v>-8846.5194615417386</v>
      </c>
      <c r="AA45" s="24">
        <f t="shared" si="36"/>
        <v>287830.16114648595</v>
      </c>
      <c r="AB45" s="207">
        <f>INDEX('ENE17'!$E$2:$E$48,MATCH(Results!$D$3,'ENE17'!$A$2:$A$48,0))</f>
        <v>288650</v>
      </c>
      <c r="AC45" s="24">
        <f>AB45-AA45</f>
        <v>819.83885351405479</v>
      </c>
      <c r="AD45" s="25">
        <f t="shared" ref="AD45:AE45" si="37">SUM(AD29:AD38)</f>
        <v>-1</v>
      </c>
      <c r="AE45" s="24">
        <f t="shared" si="37"/>
        <v>455</v>
      </c>
      <c r="AF45" s="92">
        <f>IFERROR(AH45/AE45,0)</f>
        <v>681.33026465516991</v>
      </c>
      <c r="AG45" s="24">
        <f t="shared" ref="AG45:AH45" si="38">SUM(AG29:AG38)</f>
        <v>-243.97430000390676</v>
      </c>
      <c r="AH45" s="24">
        <f t="shared" si="38"/>
        <v>310005.27041810233</v>
      </c>
      <c r="AI45" s="207">
        <f>INDEX('ENE17'!$F$2:$F$48,MATCH(Results!$D$3,'ENE17'!$A$2:$A$48,0))</f>
        <v>310654</v>
      </c>
      <c r="AJ45" s="24">
        <f>AI45-AH45</f>
        <v>648.72958189767087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155</v>
      </c>
      <c r="G51" s="193">
        <f>IFERROR(H51/F51,"")</f>
        <v>190.72258064516129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29562</v>
      </c>
      <c r="I51" s="97">
        <f>SUMIFS($N$64:$N$509,$B$64:$B$509,$B51)-SUMIFS($O$64:$O$509,$B$64:$B$509,$B51)</f>
        <v>0</v>
      </c>
      <c r="J51" s="80">
        <f>SUMIFS($P$64:$P$509,$B$64:$B$509,$B51)</f>
        <v>155</v>
      </c>
      <c r="K51" s="80">
        <f>IFERROR(M51/J51,0)</f>
        <v>208.24670937583863</v>
      </c>
      <c r="L51" s="80">
        <f>SUMIFS($R$64:$R$509,$B$64:$B$509,$B51)+SUMIFS($Q$64:$Q$509,$B$64:$B$509,$B51)</f>
        <v>158.04406599648564</v>
      </c>
      <c r="M51" s="98">
        <f>SUMIFS($S$64:$S$509,$B$64:$B$509,$B51)</f>
        <v>32278.23995325499</v>
      </c>
      <c r="N51" s="80">
        <f>SUMIFS($V$64:$V$509,$B$64:$B$509,$B51)-SUMIFS($W$64:$W$509,$B$64:$B$509,$B51)</f>
        <v>-5</v>
      </c>
      <c r="O51" s="80">
        <f>SUMIFS($X$64:$X$509,$B$64:$B$509,$B51)</f>
        <v>150</v>
      </c>
      <c r="P51" s="80">
        <f>IFERROR(R51/O51,0)</f>
        <v>225.50031022840693</v>
      </c>
      <c r="Q51" s="80">
        <f>SUMIFS($Z$64:$Z$509,$B$64:$B$509,$B51)+SUMIFS($Y$64:$Y$509,$B$64:$B$509,$B51)</f>
        <v>-1158.8519766471841</v>
      </c>
      <c r="R51" s="80">
        <f>SUMIFS($AA$64:$AA$509,$B$64:$B$509,$B51)</f>
        <v>33825.046534261041</v>
      </c>
      <c r="S51" s="97">
        <f>SUMIFS($AD$64:$AD$509,$B$64:$B$509,$B51)-SUMIFS($AE$64:$AE$509,$B$64:$B$509,$B51)</f>
        <v>-6</v>
      </c>
      <c r="T51" s="80">
        <f>SUMIFS($AF$64:$AF$509,$B$64:$B$509,$B51)</f>
        <v>144</v>
      </c>
      <c r="U51" s="80">
        <f>IFERROR(W51/T51,0)</f>
        <v>244.32998029725883</v>
      </c>
      <c r="V51" s="80">
        <f>SUMIFS($AH$64:$AH$509,$B$64:$B$509,$B51)+SUMIFS($AG$64:$AG$509,$B$64:$B$509,$B51)</f>
        <v>-1442.0195883902284</v>
      </c>
      <c r="W51" s="98">
        <f>SUMIFS($AI$64:$AI$509,$B$64:$B$509,$B51)</f>
        <v>35183.51716280527</v>
      </c>
      <c r="X51" s="80">
        <f>SUMIFS($AL$64:$AL$509,$B$64:$B$509,$B51)-SUMIFS($AM$64:$AM$509,$B$64:$B$509,$B51)</f>
        <v>-1</v>
      </c>
      <c r="Y51" s="80">
        <f>SUMIFS($AN$64:$AN$509,$B$64:$B$509,$B51)</f>
        <v>143</v>
      </c>
      <c r="Z51" s="80">
        <f>IFERROR(AB51/Y51,0)</f>
        <v>264.33924702582374</v>
      </c>
      <c r="AA51" s="80">
        <f>SUMIFS($AP$64:$AP$509,$B$64:$B$509,$B51)+SUMIFS($AO$64:$AO$509,$B$64:$B$509,$B51)</f>
        <v>-243.97430000390676</v>
      </c>
      <c r="AB51" s="98">
        <f>SUMIFS($AQ$64:$AQ$509,$B$64:$B$509,$B51)</f>
        <v>37800.512324692791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132</v>
      </c>
      <c r="G52" s="192">
        <f t="shared" ref="G52:G55" si="40">IFERROR(H52/F52,"")</f>
        <v>364.030303030303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48052</v>
      </c>
      <c r="I52" s="97">
        <f>SUMIFS($N$64:$N$509,$B$64:$B$509,$B52)-SUMIFS($O$64:$O$509,$B$64:$B$509,$B52)</f>
        <v>4</v>
      </c>
      <c r="J52" s="80">
        <f>SUMIFS($P$64:$P$509,$B$64:$B$509,$B52)</f>
        <v>136</v>
      </c>
      <c r="K52" s="80">
        <f t="shared" ref="K52:K56" si="41">IFERROR(M52/J52,0)</f>
        <v>403.03080978465619</v>
      </c>
      <c r="L52" s="80">
        <f>SUMIFS($R$64:$R$509,$B$64:$B$509,$B52)+SUMIFS($Q$64:$Q$509,$B$64:$B$509,$B52)</f>
        <v>2499.1279142916401</v>
      </c>
      <c r="M52" s="98">
        <f>SUMIFS($S$64:$S$509,$B$64:$B$509,$B52)</f>
        <v>54812.190130713243</v>
      </c>
      <c r="N52" s="80">
        <f>SUMIFS($V$64:$V$509,$B$64:$B$509,$B52)-SUMIFS($W$64:$W$509,$B$64:$B$509,$B52)</f>
        <v>-1</v>
      </c>
      <c r="O52" s="80">
        <f>SUMIFS($X$64:$X$509,$B$64:$B$509,$B52)</f>
        <v>135</v>
      </c>
      <c r="P52" s="80">
        <f t="shared" ref="P52:P55" si="42">IFERROR(R52/O52,0)</f>
        <v>437.39482076316278</v>
      </c>
      <c r="Q52" s="80">
        <f>SUMIFS($Z$64:$Z$509,$B$64:$B$509,$B52)+SUMIFS($Y$64:$Y$509,$B$64:$B$509,$B52)</f>
        <v>-397.7033571984532</v>
      </c>
      <c r="R52" s="80">
        <f>SUMIFS($AA$64:$AA$509,$B$64:$B$509,$B52)</f>
        <v>59048.300803026978</v>
      </c>
      <c r="S52" s="97">
        <f>SUMIFS($AD$64:$AD$509,$B$64:$B$509,$B52)-SUMIFS($AE$64:$AE$509,$B$64:$B$509,$B52)</f>
        <v>-5</v>
      </c>
      <c r="T52" s="80">
        <f>SUMIFS($AF$64:$AF$509,$B$64:$B$509,$B52)</f>
        <v>130</v>
      </c>
      <c r="U52" s="80">
        <f t="shared" ref="U52:U55" si="43">IFERROR(W52/T52,0)</f>
        <v>472.06712217540451</v>
      </c>
      <c r="V52" s="80">
        <f>SUMIFS($AH$64:$AH$509,$B$64:$B$509,$B52)+SUMIFS($AG$64:$AG$509,$B$64:$B$509,$B52)</f>
        <v>-2611.7517347039129</v>
      </c>
      <c r="W52" s="98">
        <f>SUMIFS($AI$64:$AI$509,$B$64:$B$509,$B52)</f>
        <v>61368.725882802588</v>
      </c>
      <c r="X52" s="80">
        <f>SUMIFS($AL$64:$AL$509,$B$64:$B$509,$B52)-SUMIFS($AM$64:$AM$509,$B$64:$B$509,$B52)</f>
        <v>0</v>
      </c>
      <c r="Y52" s="80">
        <f>SUMIFS($AN$64:$AN$509,$B$64:$B$509,$B52)</f>
        <v>130</v>
      </c>
      <c r="Z52" s="80">
        <f t="shared" ref="Z52:Z55" si="44">IFERROR(AB52/Y52,0)</f>
        <v>510.53004934826112</v>
      </c>
      <c r="AA52" s="80">
        <f>SUMIFS($AP$64:$AP$509,$B$64:$B$509,$B52)+SUMIFS($AO$64:$AO$509,$B$64:$B$509,$B52)</f>
        <v>0</v>
      </c>
      <c r="AB52" s="98">
        <f>SUMIFS($AQ$64:$AQ$509,$B$64:$B$509,$B52)</f>
        <v>66368.906415273945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95</v>
      </c>
      <c r="G53" s="192">
        <f t="shared" si="40"/>
        <v>683.69473684210527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64951</v>
      </c>
      <c r="I53" s="97">
        <f>SUMIFS($N$64:$N$509,$B$64:$B$509,$B53)-SUMIFS($O$64:$O$509,$B$64:$B$509,$B53)</f>
        <v>1</v>
      </c>
      <c r="J53" s="80">
        <f>SUMIFS($P$64:$P$509,$B$64:$B$509,$B53)</f>
        <v>96</v>
      </c>
      <c r="K53" s="80">
        <f t="shared" si="41"/>
        <v>744.15031375683009</v>
      </c>
      <c r="L53" s="80">
        <f>SUMIFS($R$64:$R$509,$B$64:$B$509,$B53)+SUMIFS($Q$64:$Q$509,$B$64:$B$509,$B53)</f>
        <v>526.4674108912991</v>
      </c>
      <c r="M53" s="98">
        <f>SUMIFS($S$64:$S$509,$B$64:$B$509,$B53)</f>
        <v>71438.430120655685</v>
      </c>
      <c r="N53" s="80">
        <f>SUMIFS($V$64:$V$509,$B$64:$B$509,$B53)-SUMIFS($W$64:$W$509,$B$64:$B$509,$B53)</f>
        <v>-4</v>
      </c>
      <c r="O53" s="80">
        <f>SUMIFS($X$64:$X$509,$B$64:$B$509,$B53)</f>
        <v>92</v>
      </c>
      <c r="P53" s="80">
        <f t="shared" si="42"/>
        <v>814.61337183708338</v>
      </c>
      <c r="Q53" s="80">
        <f>SUMIFS($Z$64:$Z$509,$B$64:$B$509,$B53)+SUMIFS($Y$64:$Y$509,$B$64:$B$509,$B53)</f>
        <v>-2615.055870626567</v>
      </c>
      <c r="R53" s="80">
        <f>SUMIFS($AA$64:$AA$509,$B$64:$B$509,$B53)</f>
        <v>74944.430209011669</v>
      </c>
      <c r="S53" s="97">
        <f>SUMIFS($AD$64:$AD$509,$B$64:$B$509,$B53)-SUMIFS($AE$64:$AE$509,$B$64:$B$509,$B53)</f>
        <v>-1</v>
      </c>
      <c r="T53" s="80">
        <f>SUMIFS($AF$64:$AF$509,$B$64:$B$509,$B53)</f>
        <v>91</v>
      </c>
      <c r="U53" s="80">
        <f t="shared" si="43"/>
        <v>885.12602156656374</v>
      </c>
      <c r="V53" s="80">
        <f>SUMIFS($AH$64:$AH$509,$B$64:$B$509,$B53)+SUMIFS($AG$64:$AG$509,$B$64:$B$509,$B53)</f>
        <v>-743.30851712640788</v>
      </c>
      <c r="W53" s="98">
        <f>SUMIFS($AI$64:$AI$509,$B$64:$B$509,$B53)</f>
        <v>80546.467962557304</v>
      </c>
      <c r="X53" s="80">
        <f>SUMIFS($AL$64:$AL$509,$B$64:$B$509,$B53)-SUMIFS($AM$64:$AM$509,$B$64:$B$509,$B53)</f>
        <v>0</v>
      </c>
      <c r="Y53" s="80">
        <f>SUMIFS($AN$64:$AN$509,$B$64:$B$509,$B53)</f>
        <v>91</v>
      </c>
      <c r="Z53" s="80">
        <f t="shared" si="44"/>
        <v>958.27035986131239</v>
      </c>
      <c r="AA53" s="80">
        <f>SUMIFS($AP$64:$AP$509,$B$64:$B$509,$B53)+SUMIFS($AO$64:$AO$509,$B$64:$B$509,$B53)</f>
        <v>0</v>
      </c>
      <c r="AB53" s="98">
        <f>SUMIFS($AQ$64:$AQ$509,$B$64:$B$509,$B53)</f>
        <v>87202.602747379424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100</v>
      </c>
      <c r="G54" s="192">
        <f t="shared" si="40"/>
        <v>959.03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95903</v>
      </c>
      <c r="I54" s="97">
        <f>SUMIFS($N$64:$N$509,$B$64:$B$509,$B54)-SUMIFS($O$64:$O$509,$B$64:$B$509,$B54)</f>
        <v>2</v>
      </c>
      <c r="J54" s="80">
        <f>SUMIFS($P$64:$P$509,$B$64:$B$509,$B54)</f>
        <v>102</v>
      </c>
      <c r="K54" s="80">
        <f t="shared" si="41"/>
        <v>1017.187470433377</v>
      </c>
      <c r="L54" s="80">
        <f>SUMIFS($R$64:$R$509,$B$64:$B$509,$B54)+SUMIFS($Q$64:$Q$509,$B$64:$B$509,$B54)</f>
        <v>4538.3040867885247</v>
      </c>
      <c r="M54" s="98">
        <f>SUMIFS($S$64:$S$509,$B$64:$B$509,$B54)</f>
        <v>103753.12198420445</v>
      </c>
      <c r="N54" s="80">
        <f>SUMIFS($V$64:$V$509,$B$64:$B$509,$B54)-SUMIFS($W$64:$W$509,$B$64:$B$509,$B54)</f>
        <v>-9</v>
      </c>
      <c r="O54" s="80">
        <f>SUMIFS($X$64:$X$509,$B$64:$B$509,$B54)</f>
        <v>93</v>
      </c>
      <c r="P54" s="80">
        <f t="shared" si="42"/>
        <v>1101.9228828732612</v>
      </c>
      <c r="Q54" s="80">
        <f>SUMIFS($Z$64:$Z$509,$B$64:$B$509,$B54)+SUMIFS($Y$64:$Y$509,$B$64:$B$509,$B54)</f>
        <v>-9065.4573970513393</v>
      </c>
      <c r="R54" s="80">
        <f>SUMIFS($AA$64:$AA$509,$B$64:$B$509,$B54)</f>
        <v>102478.82810721328</v>
      </c>
      <c r="S54" s="97">
        <f>SUMIFS($AD$64:$AD$509,$B$64:$B$509,$B54)-SUMIFS($AE$64:$AE$509,$B$64:$B$509,$B54)</f>
        <v>-4</v>
      </c>
      <c r="T54" s="80">
        <f>SUMIFS($AF$64:$AF$509,$B$64:$B$509,$B54)</f>
        <v>89</v>
      </c>
      <c r="U54" s="80">
        <f t="shared" si="43"/>
        <v>1191.1975542269749</v>
      </c>
      <c r="V54" s="80">
        <f>SUMIFS($AH$64:$AH$509,$B$64:$B$509,$B54)+SUMIFS($AG$64:$AG$509,$B$64:$B$509,$B54)</f>
        <v>-4049.4396213211899</v>
      </c>
      <c r="W54" s="98">
        <f>SUMIFS($AI$64:$AI$509,$B$64:$B$509,$B54)</f>
        <v>106016.58232620078</v>
      </c>
      <c r="X54" s="80">
        <f>SUMIFS($AL$64:$AL$509,$B$64:$B$509,$B54)-SUMIFS($AM$64:$AM$509,$B$64:$B$509,$B54)</f>
        <v>0</v>
      </c>
      <c r="Y54" s="80">
        <f>SUMIFS($AN$64:$AN$509,$B$64:$B$509,$B54)</f>
        <v>89</v>
      </c>
      <c r="Z54" s="80">
        <f t="shared" si="44"/>
        <v>1276.9621758802855</v>
      </c>
      <c r="AA54" s="80">
        <f>SUMIFS($AP$64:$AP$509,$B$64:$B$509,$B54)+SUMIFS($AO$64:$AO$509,$B$64:$B$509,$B54)</f>
        <v>0</v>
      </c>
      <c r="AB54" s="98">
        <f>SUMIFS($AQ$64:$AQ$509,$B$64:$B$509,$B54)</f>
        <v>113649.6336533454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2033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4066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2100.0889999999999</v>
      </c>
      <c r="L55" s="102">
        <f>SUMIFS($R$64:$R$509,$B$64:$B$509,$B55)+SUMIFS($Q$64:$Q$509,$B$64:$B$509,$B55)</f>
        <v>0</v>
      </c>
      <c r="M55" s="103">
        <f>SUMIFS($S$64:$S$509,$B$64:$B$509,$B55)</f>
        <v>4200.1779999999999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2226.0943400000001</v>
      </c>
      <c r="Q55" s="80">
        <f>SUMIFS($Z$64:$Z$509,$B$64:$B$509,$B55)+SUMIFS($Y$64:$Y$509,$B$64:$B$509,$B55)</f>
        <v>0</v>
      </c>
      <c r="R55" s="80">
        <f>SUMIFS($AA$64:$AA$509,$B$64:$B$509,$B55)</f>
        <v>4452.1886800000002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2357.43390606</v>
      </c>
      <c r="V55" s="102">
        <f>SUMIFS($AH$64:$AH$509,$B$64:$B$509,$B55)+SUMIFS($AG$64:$AG$509,$B$64:$B$509,$B55)</f>
        <v>0</v>
      </c>
      <c r="W55" s="103">
        <f>SUMIFS($AI$64:$AI$509,$B$64:$B$509,$B55)</f>
        <v>4714.8678121200001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2491.8076387054198</v>
      </c>
      <c r="AA55" s="80">
        <f>SUMIFS($AP$64:$AP$509,$B$64:$B$509,$B55)+SUMIFS($AO$64:$AO$509,$B$64:$B$509,$B55)</f>
        <v>0</v>
      </c>
      <c r="AB55" s="98">
        <f>SUMIFS($AQ$64:$AQ$509,$B$64:$B$509,$B55)</f>
        <v>4983.6152774108396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484</v>
      </c>
      <c r="G56" s="92">
        <f t="shared" ref="G56" si="45">IFERROR(H56/F56,0)</f>
        <v>501.10330578512395</v>
      </c>
      <c r="H56" s="92">
        <f>SUM(H51:H55)</f>
        <v>242534</v>
      </c>
      <c r="I56" s="92">
        <f>SUM(I51:I55)</f>
        <v>7</v>
      </c>
      <c r="J56" s="92">
        <f>SUM(J51:J55)</f>
        <v>491</v>
      </c>
      <c r="K56" s="92">
        <f t="shared" si="41"/>
        <v>542.73352380616791</v>
      </c>
      <c r="L56" s="92">
        <f>SUM(L51:L55)</f>
        <v>7721.9434779679495</v>
      </c>
      <c r="M56" s="92">
        <f>SUM(M51:M55)</f>
        <v>266482.16018882842</v>
      </c>
      <c r="N56" s="92">
        <f t="shared" ref="N56:O56" si="46">SUM(N51:N55)</f>
        <v>-19</v>
      </c>
      <c r="O56" s="92">
        <f t="shared" si="46"/>
        <v>472</v>
      </c>
      <c r="P56" s="92">
        <f>IFERROR(R56/O56,0)</f>
        <v>582.09490324896819</v>
      </c>
      <c r="Q56" s="92">
        <f t="shared" ref="Q56" si="47">SUM(Q51:Q55)</f>
        <v>-13237.068601523544</v>
      </c>
      <c r="R56" s="92">
        <f t="shared" ref="R56:T56" si="48">SUM(R51:R55)</f>
        <v>274748.79433351301</v>
      </c>
      <c r="S56" s="92">
        <f t="shared" si="48"/>
        <v>-16</v>
      </c>
      <c r="T56" s="92">
        <f t="shared" si="48"/>
        <v>456</v>
      </c>
      <c r="U56" s="92">
        <f>IFERROR(W56/T56,0)</f>
        <v>631.20649374229379</v>
      </c>
      <c r="V56" s="92">
        <f t="shared" ref="V56" si="49">SUM(V51:V55)</f>
        <v>-8846.5194615417386</v>
      </c>
      <c r="W56" s="92">
        <f t="shared" ref="W56:Y56" si="50">SUM(W51:W55)</f>
        <v>287830.16114648595</v>
      </c>
      <c r="X56" s="92">
        <f t="shared" si="50"/>
        <v>-1</v>
      </c>
      <c r="Y56" s="92">
        <f t="shared" si="50"/>
        <v>455</v>
      </c>
      <c r="Z56" s="92">
        <f>IFERROR(AB56/Y56,0)</f>
        <v>681.33026465517003</v>
      </c>
      <c r="AA56" s="92">
        <f t="shared" ref="AA56" si="51">SUM(AA51:AA55)</f>
        <v>-243.97430000390676</v>
      </c>
      <c r="AB56" s="104">
        <f t="shared" ref="AB56" si="52">SUM(AB51:AB55)</f>
        <v>310005.27041810239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1</v>
      </c>
      <c r="G64" s="35">
        <f>SUMIFS(WORKING!$AC$3:$AC$6802,WORKING!$A$3:$A$6802,Results!$D$3,WORKING!$B$3:$B$6802,Results!A64,WORKING!$C$3:$C$6802,Results!C64)/1000</f>
        <v>676.34491999999989</v>
      </c>
      <c r="H64" s="35">
        <f>IFERROR(G64/F64,0)</f>
        <v>676.34491999999989</v>
      </c>
      <c r="I64" s="156" t="s">
        <v>754</v>
      </c>
      <c r="J64" s="211">
        <v>0</v>
      </c>
      <c r="K64" s="217">
        <f>IFERROR(IF(J64="",G64,J64)/IF(I64="",F64,I64),"")</f>
        <v>0</v>
      </c>
      <c r="L64" s="34">
        <f t="shared" ref="L64:L80" si="54">IF(I64="",F64,I64)</f>
        <v>1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1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1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1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1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1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1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1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19</v>
      </c>
      <c r="G65" s="35">
        <f>SUMIFS(WORKING!$AC$3:$AC$6802,WORKING!$A$3:$A$6802,Results!$D$3,WORKING!$B$3:$B$6802,Results!A65,WORKING!$C$3:$C$6802,Results!C65)/1000</f>
        <v>2669.5213799999997</v>
      </c>
      <c r="H65" s="35">
        <f t="shared" ref="H65:H80" si="60">IFERROR(G65/F65,0)</f>
        <v>140.50112526315789</v>
      </c>
      <c r="I65" s="187">
        <v>21</v>
      </c>
      <c r="J65" s="212">
        <v>3024</v>
      </c>
      <c r="K65" s="217">
        <f t="shared" ref="K65:K80" si="61">IFERROR(IF(J65="",G65,J65)/IF(I65="",F65,I65),"")</f>
        <v>144</v>
      </c>
      <c r="L65" s="34">
        <f t="shared" si="54"/>
        <v>21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156.41481265179615</v>
      </c>
      <c r="N65" s="57">
        <v>4</v>
      </c>
      <c r="O65" s="57">
        <v>2</v>
      </c>
      <c r="P65" s="61">
        <f t="shared" si="55"/>
        <v>23</v>
      </c>
      <c r="Q65" s="40">
        <f t="shared" ref="Q65:Q80" si="62">M65*N65</f>
        <v>625.65925060718462</v>
      </c>
      <c r="R65" s="40">
        <f t="shared" ref="R65:R80" si="63">-M65*O65</f>
        <v>-312.82962530359231</v>
      </c>
      <c r="S65" s="44">
        <f t="shared" ref="S65:S80" si="64">M65*P65</f>
        <v>3597.5406909913117</v>
      </c>
      <c r="T65" s="35">
        <f t="shared" ref="T65:T80" si="65">P65</f>
        <v>23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169.60622875230882</v>
      </c>
      <c r="V65" s="57">
        <v>0</v>
      </c>
      <c r="W65" s="57">
        <v>0</v>
      </c>
      <c r="X65" s="61">
        <f t="shared" si="56"/>
        <v>23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3900.9432613031031</v>
      </c>
      <c r="AB65" s="35">
        <f t="shared" ref="AB65:AB80" si="69">X65</f>
        <v>23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183.73849885355722</v>
      </c>
      <c r="AD65" s="57">
        <v>0</v>
      </c>
      <c r="AE65" s="57">
        <v>0</v>
      </c>
      <c r="AF65" s="61">
        <f t="shared" si="57"/>
        <v>23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4225.9854736318157</v>
      </c>
      <c r="AJ65" s="35">
        <f t="shared" si="58"/>
        <v>23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198.67640240220078</v>
      </c>
      <c r="AL65" s="57">
        <v>0</v>
      </c>
      <c r="AM65" s="57">
        <v>0</v>
      </c>
      <c r="AN65" s="61">
        <f t="shared" si="59"/>
        <v>23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4569.5572552506183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5</v>
      </c>
      <c r="G66" s="35">
        <f>SUMIFS(WORKING!$AC$3:$AC$6802,WORKING!$A$3:$A$6802,Results!$D$3,WORKING!$B$3:$B$6802,Results!A66,WORKING!$C$3:$C$6802,Results!C66)/1000</f>
        <v>944.09787000000006</v>
      </c>
      <c r="H66" s="35">
        <f t="shared" si="60"/>
        <v>188.81957400000002</v>
      </c>
      <c r="I66" s="187">
        <v>3</v>
      </c>
      <c r="J66" s="212">
        <v>268</v>
      </c>
      <c r="K66" s="217">
        <f t="shared" si="61"/>
        <v>89.333333333333329</v>
      </c>
      <c r="L66" s="34">
        <f t="shared" si="54"/>
        <v>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97.442368979737793</v>
      </c>
      <c r="N66" s="57">
        <v>0</v>
      </c>
      <c r="O66" s="57">
        <v>1</v>
      </c>
      <c r="P66" s="61">
        <f t="shared" si="55"/>
        <v>2</v>
      </c>
      <c r="Q66" s="40">
        <f t="shared" si="62"/>
        <v>0</v>
      </c>
      <c r="R66" s="40">
        <f t="shared" si="63"/>
        <v>-97.442368979737793</v>
      </c>
      <c r="S66" s="44">
        <f t="shared" si="64"/>
        <v>194.88473795947559</v>
      </c>
      <c r="T66" s="35">
        <f t="shared" si="65"/>
        <v>2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105.78888101095527</v>
      </c>
      <c r="V66" s="57">
        <v>0</v>
      </c>
      <c r="W66" s="57">
        <v>0</v>
      </c>
      <c r="X66" s="61">
        <f t="shared" si="56"/>
        <v>2</v>
      </c>
      <c r="Y66" s="40">
        <f t="shared" si="66"/>
        <v>0</v>
      </c>
      <c r="Z66" s="40">
        <f t="shared" si="67"/>
        <v>0</v>
      </c>
      <c r="AA66" s="44">
        <f t="shared" si="68"/>
        <v>211.57776202191053</v>
      </c>
      <c r="AB66" s="35">
        <f t="shared" si="69"/>
        <v>2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114.7429891899246</v>
      </c>
      <c r="AD66" s="57">
        <v>0</v>
      </c>
      <c r="AE66" s="57">
        <v>0</v>
      </c>
      <c r="AF66" s="61">
        <f t="shared" si="57"/>
        <v>2</v>
      </c>
      <c r="AG66" s="40">
        <f t="shared" si="70"/>
        <v>0</v>
      </c>
      <c r="AH66" s="40">
        <f t="shared" si="71"/>
        <v>0</v>
      </c>
      <c r="AI66" s="44">
        <f t="shared" si="72"/>
        <v>229.4859783798492</v>
      </c>
      <c r="AJ66" s="35">
        <f t="shared" si="58"/>
        <v>2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124.22215191787424</v>
      </c>
      <c r="AL66" s="57">
        <v>0</v>
      </c>
      <c r="AM66" s="57">
        <v>0</v>
      </c>
      <c r="AN66" s="61">
        <f t="shared" si="59"/>
        <v>2</v>
      </c>
      <c r="AO66" s="40">
        <f t="shared" si="73"/>
        <v>0</v>
      </c>
      <c r="AP66" s="40">
        <f t="shared" si="74"/>
        <v>0</v>
      </c>
      <c r="AQ66" s="44">
        <f t="shared" si="75"/>
        <v>248.44430383574849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15</v>
      </c>
      <c r="G67" s="35">
        <f>SUMIFS(WORKING!$AC$3:$AC$6802,WORKING!$A$3:$A$6802,Results!$D$3,WORKING!$B$3:$B$6802,Results!A67,WORKING!$C$3:$C$6802,Results!C67)/1000</f>
        <v>2104.0144799999994</v>
      </c>
      <c r="H67" s="35">
        <f t="shared" si="60"/>
        <v>140.26763199999996</v>
      </c>
      <c r="I67" s="187">
        <v>13</v>
      </c>
      <c r="J67" s="212">
        <v>2296</v>
      </c>
      <c r="K67" s="217">
        <f t="shared" si="61"/>
        <v>176.61538461538461</v>
      </c>
      <c r="L67" s="34">
        <f t="shared" si="54"/>
        <v>13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191.96372083830639</v>
      </c>
      <c r="N67" s="57">
        <v>0</v>
      </c>
      <c r="O67" s="57">
        <v>2</v>
      </c>
      <c r="P67" s="61">
        <f t="shared" si="55"/>
        <v>11</v>
      </c>
      <c r="Q67" s="40">
        <f t="shared" si="62"/>
        <v>0</v>
      </c>
      <c r="R67" s="40">
        <f t="shared" si="63"/>
        <v>-383.92744167661277</v>
      </c>
      <c r="S67" s="44">
        <f t="shared" si="64"/>
        <v>2111.6009292213703</v>
      </c>
      <c r="T67" s="35">
        <f t="shared" si="65"/>
        <v>11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208.1943743138813</v>
      </c>
      <c r="V67" s="57">
        <v>0</v>
      </c>
      <c r="W67" s="57">
        <v>1</v>
      </c>
      <c r="X67" s="61">
        <f t="shared" si="56"/>
        <v>10</v>
      </c>
      <c r="Y67" s="40">
        <f t="shared" si="66"/>
        <v>0</v>
      </c>
      <c r="Z67" s="40">
        <f t="shared" si="67"/>
        <v>-208.1943743138813</v>
      </c>
      <c r="AA67" s="44">
        <f t="shared" si="68"/>
        <v>2081.9437431388128</v>
      </c>
      <c r="AB67" s="35">
        <f t="shared" si="69"/>
        <v>10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225.58642567368352</v>
      </c>
      <c r="AD67" s="57">
        <v>1</v>
      </c>
      <c r="AE67" s="57">
        <v>0</v>
      </c>
      <c r="AF67" s="61">
        <f t="shared" si="57"/>
        <v>11</v>
      </c>
      <c r="AG67" s="40">
        <f t="shared" si="70"/>
        <v>225.58642567368352</v>
      </c>
      <c r="AH67" s="40">
        <f t="shared" si="71"/>
        <v>0</v>
      </c>
      <c r="AI67" s="44">
        <f t="shared" si="72"/>
        <v>2481.4506824105188</v>
      </c>
      <c r="AJ67" s="35">
        <f t="shared" si="58"/>
        <v>11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243.97430000390676</v>
      </c>
      <c r="AL67" s="57">
        <v>0</v>
      </c>
      <c r="AM67" s="57">
        <v>1</v>
      </c>
      <c r="AN67" s="61">
        <f t="shared" si="59"/>
        <v>10</v>
      </c>
      <c r="AO67" s="40">
        <f t="shared" si="73"/>
        <v>0</v>
      </c>
      <c r="AP67" s="40">
        <f t="shared" si="74"/>
        <v>-243.97430000390676</v>
      </c>
      <c r="AQ67" s="44">
        <f t="shared" si="75"/>
        <v>2439.7430000390677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51</v>
      </c>
      <c r="G68" s="35">
        <f>SUMIFS(WORKING!$AC$3:$AC$6802,WORKING!$A$3:$A$6802,Results!$D$3,WORKING!$B$3:$B$6802,Results!A68,WORKING!$C$3:$C$6802,Results!C68)/1000</f>
        <v>9048.9532899999995</v>
      </c>
      <c r="H68" s="35">
        <f t="shared" si="60"/>
        <v>177.43045666666666</v>
      </c>
      <c r="I68" s="187">
        <v>52</v>
      </c>
      <c r="J68" s="212">
        <v>10358</v>
      </c>
      <c r="K68" s="217">
        <f t="shared" si="61"/>
        <v>199.19230769230768</v>
      </c>
      <c r="L68" s="34">
        <f t="shared" si="54"/>
        <v>52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216.55140531091774</v>
      </c>
      <c r="N68" s="57">
        <v>0</v>
      </c>
      <c r="O68" s="57">
        <v>3</v>
      </c>
      <c r="P68" s="61">
        <f t="shared" si="55"/>
        <v>49</v>
      </c>
      <c r="Q68" s="40">
        <f t="shared" si="62"/>
        <v>0</v>
      </c>
      <c r="R68" s="40">
        <f t="shared" si="63"/>
        <v>-649.65421593275323</v>
      </c>
      <c r="S68" s="44">
        <f t="shared" si="64"/>
        <v>10611.01886023497</v>
      </c>
      <c r="T68" s="35">
        <f t="shared" si="65"/>
        <v>49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234.87767638307676</v>
      </c>
      <c r="V68" s="57">
        <v>0</v>
      </c>
      <c r="W68" s="57">
        <v>4</v>
      </c>
      <c r="X68" s="61">
        <f t="shared" si="56"/>
        <v>45</v>
      </c>
      <c r="Y68" s="40">
        <f t="shared" si="66"/>
        <v>0</v>
      </c>
      <c r="Z68" s="40">
        <f t="shared" si="67"/>
        <v>-939.51070553230704</v>
      </c>
      <c r="AA68" s="44">
        <f t="shared" si="68"/>
        <v>10569.495437238455</v>
      </c>
      <c r="AB68" s="35">
        <f t="shared" si="69"/>
        <v>45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254.51682132569937</v>
      </c>
      <c r="AD68" s="57">
        <v>0</v>
      </c>
      <c r="AE68" s="57">
        <v>0</v>
      </c>
      <c r="AF68" s="61">
        <f t="shared" si="57"/>
        <v>45</v>
      </c>
      <c r="AG68" s="40">
        <f t="shared" si="70"/>
        <v>0</v>
      </c>
      <c r="AH68" s="40">
        <f t="shared" si="71"/>
        <v>0</v>
      </c>
      <c r="AI68" s="44">
        <f t="shared" si="72"/>
        <v>11453.256959656472</v>
      </c>
      <c r="AJ68" s="35">
        <f t="shared" si="58"/>
        <v>45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275.28219721526165</v>
      </c>
      <c r="AL68" s="57">
        <v>0</v>
      </c>
      <c r="AM68" s="57">
        <v>0</v>
      </c>
      <c r="AN68" s="61">
        <f t="shared" si="59"/>
        <v>45</v>
      </c>
      <c r="AO68" s="40">
        <f t="shared" si="73"/>
        <v>0</v>
      </c>
      <c r="AP68" s="40">
        <f t="shared" si="74"/>
        <v>0</v>
      </c>
      <c r="AQ68" s="44">
        <f t="shared" si="75"/>
        <v>12387.698874686774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25</v>
      </c>
      <c r="G69" s="35">
        <f>SUMIFS(WORKING!$AC$3:$AC$6802,WORKING!$A$3:$A$6802,Results!$D$3,WORKING!$B$3:$B$6802,Results!A69,WORKING!$C$3:$C$6802,Results!C69)/1000</f>
        <v>6431.1533000000009</v>
      </c>
      <c r="H69" s="35">
        <f t="shared" si="60"/>
        <v>257.24613200000005</v>
      </c>
      <c r="I69" s="187">
        <v>27</v>
      </c>
      <c r="J69" s="212">
        <v>6058</v>
      </c>
      <c r="K69" s="217">
        <f t="shared" si="61"/>
        <v>224.37037037037038</v>
      </c>
      <c r="L69" s="34">
        <f t="shared" si="54"/>
        <v>27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244.05961682049923</v>
      </c>
      <c r="N69" s="57">
        <v>7</v>
      </c>
      <c r="O69" s="57">
        <v>3</v>
      </c>
      <c r="P69" s="61">
        <f t="shared" si="55"/>
        <v>31</v>
      </c>
      <c r="Q69" s="40">
        <f t="shared" si="62"/>
        <v>1708.4173177434946</v>
      </c>
      <c r="R69" s="40">
        <f t="shared" si="63"/>
        <v>-732.17885046149763</v>
      </c>
      <c r="S69" s="44">
        <f t="shared" si="64"/>
        <v>7565.8481214354761</v>
      </c>
      <c r="T69" s="35">
        <f t="shared" si="65"/>
        <v>31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264.75545321284568</v>
      </c>
      <c r="V69" s="57">
        <v>1</v>
      </c>
      <c r="W69" s="57">
        <v>0</v>
      </c>
      <c r="X69" s="61">
        <f t="shared" si="56"/>
        <v>32</v>
      </c>
      <c r="Y69" s="40">
        <f t="shared" si="66"/>
        <v>264.75545321284568</v>
      </c>
      <c r="Z69" s="40">
        <f t="shared" si="67"/>
        <v>0</v>
      </c>
      <c r="AA69" s="44">
        <f t="shared" si="68"/>
        <v>8472.1745028110618</v>
      </c>
      <c r="AB69" s="35">
        <f t="shared" si="69"/>
        <v>32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286.93792362554728</v>
      </c>
      <c r="AD69" s="57">
        <v>0</v>
      </c>
      <c r="AE69" s="57">
        <v>1</v>
      </c>
      <c r="AF69" s="61">
        <f t="shared" si="57"/>
        <v>31</v>
      </c>
      <c r="AG69" s="40">
        <f t="shared" si="70"/>
        <v>0</v>
      </c>
      <c r="AH69" s="40">
        <f t="shared" si="71"/>
        <v>-286.93792362554728</v>
      </c>
      <c r="AI69" s="44">
        <f t="shared" si="72"/>
        <v>8895.075632391965</v>
      </c>
      <c r="AJ69" s="35">
        <f t="shared" si="58"/>
        <v>31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310.39730696485611</v>
      </c>
      <c r="AL69" s="57">
        <v>0</v>
      </c>
      <c r="AM69" s="57">
        <v>0</v>
      </c>
      <c r="AN69" s="61">
        <f t="shared" si="59"/>
        <v>31</v>
      </c>
      <c r="AO69" s="40">
        <f t="shared" si="73"/>
        <v>0</v>
      </c>
      <c r="AP69" s="40">
        <f t="shared" si="74"/>
        <v>0</v>
      </c>
      <c r="AQ69" s="44">
        <f t="shared" si="75"/>
        <v>9622.3165159105392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22</v>
      </c>
      <c r="G70" s="35">
        <f>SUMIFS(WORKING!$AC$3:$AC$6802,WORKING!$A$3:$A$6802,Results!$D$3,WORKING!$B$3:$B$6802,Results!A70,WORKING!$C$3:$C$6802,Results!C70)/1000</f>
        <v>6770.7844499999983</v>
      </c>
      <c r="H70" s="35">
        <f t="shared" si="60"/>
        <v>307.76292954545448</v>
      </c>
      <c r="I70" s="187">
        <v>22</v>
      </c>
      <c r="J70" s="212">
        <v>6946</v>
      </c>
      <c r="K70" s="217">
        <f t="shared" si="61"/>
        <v>315.72727272727275</v>
      </c>
      <c r="L70" s="34">
        <f t="shared" si="54"/>
        <v>22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343.71100413364633</v>
      </c>
      <c r="N70" s="57">
        <v>1</v>
      </c>
      <c r="O70" s="57">
        <v>0</v>
      </c>
      <c r="P70" s="61">
        <f t="shared" si="55"/>
        <v>23</v>
      </c>
      <c r="Q70" s="40">
        <f t="shared" si="62"/>
        <v>343.71100413364633</v>
      </c>
      <c r="R70" s="40">
        <f t="shared" si="63"/>
        <v>0</v>
      </c>
      <c r="S70" s="44">
        <f t="shared" si="64"/>
        <v>7905.3530950738659</v>
      </c>
      <c r="T70" s="35">
        <f t="shared" si="65"/>
        <v>23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372.94274881917585</v>
      </c>
      <c r="V70" s="57">
        <v>0</v>
      </c>
      <c r="W70" s="57">
        <v>0</v>
      </c>
      <c r="X70" s="61">
        <f t="shared" si="56"/>
        <v>23</v>
      </c>
      <c r="Y70" s="40">
        <f t="shared" si="66"/>
        <v>0</v>
      </c>
      <c r="Z70" s="40">
        <f t="shared" si="67"/>
        <v>0</v>
      </c>
      <c r="AA70" s="44">
        <f t="shared" si="68"/>
        <v>8577.683222841044</v>
      </c>
      <c r="AB70" s="35">
        <f t="shared" si="69"/>
        <v>23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404.28251597764893</v>
      </c>
      <c r="AD70" s="57">
        <v>0</v>
      </c>
      <c r="AE70" s="57">
        <v>0</v>
      </c>
      <c r="AF70" s="61">
        <f t="shared" si="57"/>
        <v>23</v>
      </c>
      <c r="AG70" s="40">
        <f t="shared" si="70"/>
        <v>0</v>
      </c>
      <c r="AH70" s="40">
        <f t="shared" si="71"/>
        <v>0</v>
      </c>
      <c r="AI70" s="44">
        <f t="shared" si="72"/>
        <v>9298.4978674859249</v>
      </c>
      <c r="AJ70" s="35">
        <f t="shared" si="58"/>
        <v>23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437.43621455813354</v>
      </c>
      <c r="AL70" s="57">
        <v>0</v>
      </c>
      <c r="AM70" s="57">
        <v>0</v>
      </c>
      <c r="AN70" s="61">
        <f t="shared" si="59"/>
        <v>23</v>
      </c>
      <c r="AO70" s="40">
        <f t="shared" si="73"/>
        <v>0</v>
      </c>
      <c r="AP70" s="40">
        <f t="shared" si="74"/>
        <v>0</v>
      </c>
      <c r="AQ70" s="44">
        <f t="shared" si="75"/>
        <v>10061.032934837072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13</v>
      </c>
      <c r="G71" s="35">
        <f>SUMIFS(WORKING!$AC$3:$AC$6802,WORKING!$A$3:$A$6802,Results!$D$3,WORKING!$B$3:$B$6802,Results!A71,WORKING!$C$3:$C$6802,Results!C71)/1000</f>
        <v>4120.5579100000004</v>
      </c>
      <c r="H71" s="35">
        <f>IFERROR(G71/F71,0)</f>
        <v>316.9659930769231</v>
      </c>
      <c r="I71" s="187">
        <v>12</v>
      </c>
      <c r="J71" s="212">
        <v>4820</v>
      </c>
      <c r="K71" s="217">
        <f t="shared" si="61"/>
        <v>401.66666666666669</v>
      </c>
      <c r="L71" s="34">
        <f t="shared" si="54"/>
        <v>12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437.58927498080044</v>
      </c>
      <c r="N71" s="57">
        <v>0</v>
      </c>
      <c r="O71" s="57">
        <v>0</v>
      </c>
      <c r="P71" s="61">
        <f t="shared" si="55"/>
        <v>12</v>
      </c>
      <c r="Q71" s="40">
        <f t="shared" si="62"/>
        <v>0</v>
      </c>
      <c r="R71" s="40">
        <f t="shared" si="63"/>
        <v>0</v>
      </c>
      <c r="S71" s="44">
        <f t="shared" si="64"/>
        <v>5251.0712997696055</v>
      </c>
      <c r="T71" s="35">
        <f t="shared" si="65"/>
        <v>12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474.90453747349119</v>
      </c>
      <c r="V71" s="57">
        <v>0</v>
      </c>
      <c r="W71" s="57">
        <v>0</v>
      </c>
      <c r="X71" s="61">
        <f t="shared" si="56"/>
        <v>12</v>
      </c>
      <c r="Y71" s="40">
        <f t="shared" si="66"/>
        <v>0</v>
      </c>
      <c r="Z71" s="40">
        <f t="shared" si="67"/>
        <v>0</v>
      </c>
      <c r="AA71" s="44">
        <f t="shared" si="68"/>
        <v>5698.854449681894</v>
      </c>
      <c r="AB71" s="35">
        <f t="shared" si="69"/>
        <v>12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514.92032551291197</v>
      </c>
      <c r="AD71" s="57">
        <v>0</v>
      </c>
      <c r="AE71" s="57">
        <v>0</v>
      </c>
      <c r="AF71" s="61">
        <f t="shared" si="57"/>
        <v>12</v>
      </c>
      <c r="AG71" s="40">
        <f t="shared" si="70"/>
        <v>0</v>
      </c>
      <c r="AH71" s="40">
        <f t="shared" si="71"/>
        <v>0</v>
      </c>
      <c r="AI71" s="44">
        <f t="shared" si="72"/>
        <v>6179.0439061549441</v>
      </c>
      <c r="AJ71" s="35">
        <f t="shared" si="58"/>
        <v>12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557.2636863156182</v>
      </c>
      <c r="AL71" s="57">
        <v>0</v>
      </c>
      <c r="AM71" s="57">
        <v>0</v>
      </c>
      <c r="AN71" s="61">
        <f t="shared" si="59"/>
        <v>12</v>
      </c>
      <c r="AO71" s="40">
        <f t="shared" si="73"/>
        <v>0</v>
      </c>
      <c r="AP71" s="40">
        <f t="shared" si="74"/>
        <v>0</v>
      </c>
      <c r="AQ71" s="44">
        <f t="shared" si="75"/>
        <v>6687.1642357874189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21</v>
      </c>
      <c r="G72" s="35">
        <f>SUMIFS(WORKING!$AC$3:$AC$6802,WORKING!$A$3:$A$6802,Results!$D$3,WORKING!$B$3:$B$6802,Results!A72,WORKING!$C$3:$C$6802,Results!C72)/1000</f>
        <v>8557.8314200000004</v>
      </c>
      <c r="H72" s="35">
        <f t="shared" si="60"/>
        <v>407.51578190476192</v>
      </c>
      <c r="I72" s="187">
        <v>21</v>
      </c>
      <c r="J72" s="212">
        <v>9620</v>
      </c>
      <c r="K72" s="217">
        <f>IFERROR(IF(J72="",G72,J72)/IF(I72="",F72,I72),"")</f>
        <v>458.09523809523807</v>
      </c>
      <c r="L72" s="34">
        <f t="shared" si="54"/>
        <v>21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499.30942632625334</v>
      </c>
      <c r="N72" s="57">
        <v>5</v>
      </c>
      <c r="O72" s="57">
        <v>0</v>
      </c>
      <c r="P72" s="61">
        <f t="shared" si="55"/>
        <v>26</v>
      </c>
      <c r="Q72" s="40">
        <f t="shared" si="62"/>
        <v>2496.5471316312669</v>
      </c>
      <c r="R72" s="40">
        <f t="shared" si="63"/>
        <v>0</v>
      </c>
      <c r="S72" s="44">
        <f t="shared" si="64"/>
        <v>12982.045084482586</v>
      </c>
      <c r="T72" s="35">
        <f t="shared" si="65"/>
        <v>26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541.96303728952432</v>
      </c>
      <c r="V72" s="57">
        <v>0</v>
      </c>
      <c r="W72" s="57">
        <v>0</v>
      </c>
      <c r="X72" s="61">
        <f t="shared" si="56"/>
        <v>26</v>
      </c>
      <c r="Y72" s="40">
        <f t="shared" si="66"/>
        <v>0</v>
      </c>
      <c r="Z72" s="40">
        <f t="shared" si="67"/>
        <v>0</v>
      </c>
      <c r="AA72" s="44">
        <f t="shared" si="68"/>
        <v>14091.038969527632</v>
      </c>
      <c r="AB72" s="35">
        <f t="shared" si="69"/>
        <v>26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587.71078424775669</v>
      </c>
      <c r="AD72" s="57">
        <v>0</v>
      </c>
      <c r="AE72" s="57">
        <v>0</v>
      </c>
      <c r="AF72" s="61">
        <f t="shared" si="57"/>
        <v>26</v>
      </c>
      <c r="AG72" s="40">
        <f t="shared" si="70"/>
        <v>0</v>
      </c>
      <c r="AH72" s="40">
        <f t="shared" si="71"/>
        <v>0</v>
      </c>
      <c r="AI72" s="44">
        <f t="shared" si="72"/>
        <v>15280.480390441673</v>
      </c>
      <c r="AJ72" s="35">
        <f t="shared" si="58"/>
        <v>26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636.12826044507381</v>
      </c>
      <c r="AL72" s="57">
        <v>0</v>
      </c>
      <c r="AM72" s="57">
        <v>0</v>
      </c>
      <c r="AN72" s="61">
        <f t="shared" si="59"/>
        <v>26</v>
      </c>
      <c r="AO72" s="40">
        <f t="shared" si="73"/>
        <v>0</v>
      </c>
      <c r="AP72" s="40">
        <f t="shared" si="74"/>
        <v>0</v>
      </c>
      <c r="AQ72" s="44">
        <f t="shared" si="75"/>
        <v>16539.334771571917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11</v>
      </c>
      <c r="G73" s="35">
        <f>SUMIFS(WORKING!$AC$3:$AC$6802,WORKING!$A$3:$A$6802,Results!$D$3,WORKING!$B$3:$B$6802,Results!A73,WORKING!$C$3:$C$6802,Results!C73)/1000</f>
        <v>5695.9214000000011</v>
      </c>
      <c r="H73" s="35">
        <f t="shared" si="60"/>
        <v>517.8110363636365</v>
      </c>
      <c r="I73" s="187">
        <v>10</v>
      </c>
      <c r="J73" s="212">
        <v>5780</v>
      </c>
      <c r="K73" s="217">
        <f t="shared" si="61"/>
        <v>578</v>
      </c>
      <c r="L73" s="34">
        <f t="shared" si="54"/>
        <v>10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630.29988380022462</v>
      </c>
      <c r="N73" s="57">
        <v>0</v>
      </c>
      <c r="O73" s="57">
        <v>0</v>
      </c>
      <c r="P73" s="61">
        <f t="shared" si="55"/>
        <v>10</v>
      </c>
      <c r="Q73" s="40">
        <f t="shared" si="62"/>
        <v>0</v>
      </c>
      <c r="R73" s="40">
        <f t="shared" si="63"/>
        <v>0</v>
      </c>
      <c r="S73" s="44">
        <f t="shared" si="64"/>
        <v>6302.998838002246</v>
      </c>
      <c r="T73" s="35">
        <f t="shared" si="65"/>
        <v>10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684.23659607394779</v>
      </c>
      <c r="V73" s="57">
        <v>0</v>
      </c>
      <c r="W73" s="57">
        <v>0</v>
      </c>
      <c r="X73" s="61">
        <f t="shared" si="56"/>
        <v>10</v>
      </c>
      <c r="Y73" s="40">
        <f t="shared" si="66"/>
        <v>0</v>
      </c>
      <c r="Z73" s="40">
        <f t="shared" si="67"/>
        <v>0</v>
      </c>
      <c r="AA73" s="44">
        <f t="shared" si="68"/>
        <v>6842.3659607394784</v>
      </c>
      <c r="AB73" s="35">
        <f t="shared" si="69"/>
        <v>10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742.0948739666926</v>
      </c>
      <c r="AD73" s="57">
        <v>0</v>
      </c>
      <c r="AE73" s="57">
        <v>0</v>
      </c>
      <c r="AF73" s="61">
        <f t="shared" si="57"/>
        <v>10</v>
      </c>
      <c r="AG73" s="40">
        <f t="shared" si="70"/>
        <v>0</v>
      </c>
      <c r="AH73" s="40">
        <f t="shared" si="71"/>
        <v>0</v>
      </c>
      <c r="AI73" s="44">
        <f t="shared" si="72"/>
        <v>7420.9487396669265</v>
      </c>
      <c r="AJ73" s="35">
        <f t="shared" si="58"/>
        <v>10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803.34028925563916</v>
      </c>
      <c r="AL73" s="57">
        <v>0</v>
      </c>
      <c r="AM73" s="57">
        <v>0</v>
      </c>
      <c r="AN73" s="61">
        <f t="shared" si="59"/>
        <v>10</v>
      </c>
      <c r="AO73" s="40">
        <f t="shared" si="73"/>
        <v>0</v>
      </c>
      <c r="AP73" s="40">
        <f t="shared" si="74"/>
        <v>0</v>
      </c>
      <c r="AQ73" s="44">
        <f t="shared" si="75"/>
        <v>8033.4028925563916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19</v>
      </c>
      <c r="G74" s="35">
        <f>SUMIFS(WORKING!$AC$3:$AC$6802,WORKING!$A$3:$A$6802,Results!$D$3,WORKING!$B$3:$B$6802,Results!A74,WORKING!$C$3:$C$6802,Results!C74)/1000</f>
        <v>11710.523150000001</v>
      </c>
      <c r="H74" s="35">
        <f t="shared" si="60"/>
        <v>616.34332368421053</v>
      </c>
      <c r="I74" s="187">
        <v>21</v>
      </c>
      <c r="J74" s="212">
        <v>11582</v>
      </c>
      <c r="K74" s="217">
        <f t="shared" si="61"/>
        <v>551.52380952380952</v>
      </c>
      <c r="L74" s="34">
        <f t="shared" si="54"/>
        <v>21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602.15302174873932</v>
      </c>
      <c r="N74" s="57">
        <v>3</v>
      </c>
      <c r="O74" s="57">
        <v>2</v>
      </c>
      <c r="P74" s="61">
        <f t="shared" si="55"/>
        <v>22</v>
      </c>
      <c r="Q74" s="40">
        <f t="shared" si="62"/>
        <v>1806.459065246218</v>
      </c>
      <c r="R74" s="40">
        <f t="shared" si="63"/>
        <v>-1204.3060434974786</v>
      </c>
      <c r="S74" s="44">
        <f t="shared" si="64"/>
        <v>13247.366478472264</v>
      </c>
      <c r="T74" s="35">
        <f t="shared" si="65"/>
        <v>22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653.76396765664174</v>
      </c>
      <c r="V74" s="57">
        <v>0</v>
      </c>
      <c r="W74" s="57">
        <v>4</v>
      </c>
      <c r="X74" s="61">
        <f t="shared" si="56"/>
        <v>18</v>
      </c>
      <c r="Y74" s="40">
        <f t="shared" si="66"/>
        <v>0</v>
      </c>
      <c r="Z74" s="40">
        <f t="shared" si="67"/>
        <v>-2615.055870626567</v>
      </c>
      <c r="AA74" s="44">
        <f t="shared" si="68"/>
        <v>11767.751417819551</v>
      </c>
      <c r="AB74" s="35">
        <f t="shared" si="69"/>
        <v>18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709.13515980963018</v>
      </c>
      <c r="AD74" s="57">
        <v>0</v>
      </c>
      <c r="AE74" s="57">
        <v>0</v>
      </c>
      <c r="AF74" s="61">
        <f t="shared" si="57"/>
        <v>18</v>
      </c>
      <c r="AG74" s="40">
        <f t="shared" si="70"/>
        <v>0</v>
      </c>
      <c r="AH74" s="40">
        <f t="shared" si="71"/>
        <v>0</v>
      </c>
      <c r="AI74" s="44">
        <f t="shared" si="72"/>
        <v>12764.432876573343</v>
      </c>
      <c r="AJ74" s="35">
        <f t="shared" si="58"/>
        <v>18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767.75697576857635</v>
      </c>
      <c r="AL74" s="57">
        <v>0</v>
      </c>
      <c r="AM74" s="57">
        <v>0</v>
      </c>
      <c r="AN74" s="61">
        <f t="shared" si="59"/>
        <v>18</v>
      </c>
      <c r="AO74" s="40">
        <f t="shared" si="73"/>
        <v>0</v>
      </c>
      <c r="AP74" s="40">
        <f t="shared" si="74"/>
        <v>0</v>
      </c>
      <c r="AQ74" s="44">
        <f t="shared" si="75"/>
        <v>13819.625563834374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11</v>
      </c>
      <c r="G75" s="35">
        <f>SUMIFS(WORKING!$AC$3:$AC$6802,WORKING!$A$3:$A$6802,Results!$D$3,WORKING!$B$3:$B$6802,Results!A75,WORKING!$C$3:$C$6802,Results!C75)/1000</f>
        <v>7615.8918800000001</v>
      </c>
      <c r="H75" s="35">
        <f t="shared" si="60"/>
        <v>692.35380727272729</v>
      </c>
      <c r="I75" s="187">
        <v>12</v>
      </c>
      <c r="J75" s="212">
        <v>9360</v>
      </c>
      <c r="K75" s="217">
        <f t="shared" si="61"/>
        <v>780</v>
      </c>
      <c r="L75" s="34">
        <f t="shared" si="54"/>
        <v>12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851.5355989361999</v>
      </c>
      <c r="N75" s="57">
        <v>0</v>
      </c>
      <c r="O75" s="57">
        <v>0</v>
      </c>
      <c r="P75" s="61">
        <f t="shared" si="55"/>
        <v>12</v>
      </c>
      <c r="Q75" s="40">
        <f t="shared" si="62"/>
        <v>0</v>
      </c>
      <c r="R75" s="40">
        <f t="shared" si="63"/>
        <v>0</v>
      </c>
      <c r="S75" s="44">
        <f t="shared" si="64"/>
        <v>10218.4271872344</v>
      </c>
      <c r="T75" s="35">
        <f t="shared" si="65"/>
        <v>12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924.44807167277543</v>
      </c>
      <c r="V75" s="57">
        <v>0</v>
      </c>
      <c r="W75" s="57">
        <v>0</v>
      </c>
      <c r="X75" s="61">
        <f t="shared" si="56"/>
        <v>12</v>
      </c>
      <c r="Y75" s="40">
        <f t="shared" si="66"/>
        <v>0</v>
      </c>
      <c r="Z75" s="40">
        <f t="shared" si="67"/>
        <v>0</v>
      </c>
      <c r="AA75" s="44">
        <f t="shared" si="68"/>
        <v>11093.376860073306</v>
      </c>
      <c r="AB75" s="35">
        <f t="shared" si="69"/>
        <v>12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1002.6657050361082</v>
      </c>
      <c r="AD75" s="57">
        <v>0</v>
      </c>
      <c r="AE75" s="57">
        <v>0</v>
      </c>
      <c r="AF75" s="61">
        <f t="shared" si="57"/>
        <v>12</v>
      </c>
      <c r="AG75" s="40">
        <f t="shared" si="70"/>
        <v>0</v>
      </c>
      <c r="AH75" s="40">
        <f t="shared" si="71"/>
        <v>0</v>
      </c>
      <c r="AI75" s="44">
        <f t="shared" si="72"/>
        <v>12031.988460433298</v>
      </c>
      <c r="AJ75" s="35">
        <f t="shared" si="58"/>
        <v>12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1085.4667250055368</v>
      </c>
      <c r="AL75" s="57">
        <v>0</v>
      </c>
      <c r="AM75" s="57">
        <v>0</v>
      </c>
      <c r="AN75" s="61">
        <f t="shared" si="59"/>
        <v>12</v>
      </c>
      <c r="AO75" s="40">
        <f t="shared" si="73"/>
        <v>0</v>
      </c>
      <c r="AP75" s="40">
        <f t="shared" si="74"/>
        <v>0</v>
      </c>
      <c r="AQ75" s="44">
        <f t="shared" si="75"/>
        <v>13025.600700066441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21</v>
      </c>
      <c r="G76" s="35">
        <f>SUMIFS(WORKING!$AC$3:$AC$6802,WORKING!$A$3:$A$6802,Results!$D$3,WORKING!$B$3:$B$6802,Results!A76,WORKING!$C$3:$C$6802,Results!C76)/1000</f>
        <v>18558.940149999999</v>
      </c>
      <c r="H76" s="35">
        <f t="shared" si="60"/>
        <v>883.75905476190474</v>
      </c>
      <c r="I76" s="187">
        <v>19</v>
      </c>
      <c r="J76" s="212">
        <v>16640</v>
      </c>
      <c r="K76" s="217">
        <f t="shared" si="61"/>
        <v>875.78947368421052</v>
      </c>
      <c r="L76" s="34">
        <f t="shared" si="54"/>
        <v>19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918.04451193976024</v>
      </c>
      <c r="N76" s="57">
        <v>5</v>
      </c>
      <c r="O76" s="57">
        <v>5</v>
      </c>
      <c r="P76" s="61">
        <f t="shared" si="55"/>
        <v>19</v>
      </c>
      <c r="Q76" s="40">
        <f t="shared" si="62"/>
        <v>4590.222559698801</v>
      </c>
      <c r="R76" s="40">
        <f t="shared" si="63"/>
        <v>-4590.222559698801</v>
      </c>
      <c r="S76" s="44">
        <f t="shared" si="64"/>
        <v>17442.845726855445</v>
      </c>
      <c r="T76" s="35">
        <f t="shared" si="65"/>
        <v>19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987.49135032396271</v>
      </c>
      <c r="V76" s="57">
        <v>0</v>
      </c>
      <c r="W76" s="57">
        <v>1</v>
      </c>
      <c r="X76" s="61">
        <f t="shared" si="56"/>
        <v>18</v>
      </c>
      <c r="Y76" s="40">
        <f t="shared" si="66"/>
        <v>0</v>
      </c>
      <c r="Z76" s="40">
        <f t="shared" si="67"/>
        <v>-987.49135032396271</v>
      </c>
      <c r="AA76" s="44">
        <f t="shared" si="68"/>
        <v>17774.844305831328</v>
      </c>
      <c r="AB76" s="35">
        <f t="shared" si="69"/>
        <v>18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1061.1895302286007</v>
      </c>
      <c r="AD76" s="57">
        <v>0</v>
      </c>
      <c r="AE76" s="57">
        <v>0</v>
      </c>
      <c r="AF76" s="61">
        <f t="shared" si="57"/>
        <v>18</v>
      </c>
      <c r="AG76" s="40">
        <f t="shared" si="70"/>
        <v>0</v>
      </c>
      <c r="AH76" s="40">
        <f t="shared" si="71"/>
        <v>0</v>
      </c>
      <c r="AI76" s="44">
        <f t="shared" si="72"/>
        <v>19101.411544114813</v>
      </c>
      <c r="AJ76" s="35">
        <f t="shared" si="58"/>
        <v>18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1138.2342250625622</v>
      </c>
      <c r="AL76" s="57">
        <v>0</v>
      </c>
      <c r="AM76" s="57">
        <v>0</v>
      </c>
      <c r="AN76" s="61">
        <f t="shared" si="59"/>
        <v>18</v>
      </c>
      <c r="AO76" s="40">
        <f t="shared" si="73"/>
        <v>0</v>
      </c>
      <c r="AP76" s="40">
        <f t="shared" si="74"/>
        <v>0</v>
      </c>
      <c r="AQ76" s="44">
        <f t="shared" si="75"/>
        <v>20488.216051126121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4</v>
      </c>
      <c r="G77" s="35">
        <f>SUMIFS(WORKING!$AC$3:$AC$6802,WORKING!$A$3:$A$6802,Results!$D$3,WORKING!$B$3:$B$6802,Results!A77,WORKING!$C$3:$C$6802,Results!C77)/1000</f>
        <v>7188.9814100000003</v>
      </c>
      <c r="H77" s="35">
        <f t="shared" si="60"/>
        <v>1797.2453525000001</v>
      </c>
      <c r="I77" s="187">
        <v>4</v>
      </c>
      <c r="J77" s="212">
        <v>5091</v>
      </c>
      <c r="K77" s="217">
        <f t="shared" si="61"/>
        <v>1272.75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1333.5062729913791</v>
      </c>
      <c r="N77" s="57">
        <v>3</v>
      </c>
      <c r="O77" s="57">
        <v>0</v>
      </c>
      <c r="P77" s="61">
        <f t="shared" si="55"/>
        <v>7</v>
      </c>
      <c r="Q77" s="40">
        <f t="shared" si="62"/>
        <v>4000.5188189741375</v>
      </c>
      <c r="R77" s="40">
        <f t="shared" si="63"/>
        <v>0</v>
      </c>
      <c r="S77" s="44">
        <f t="shared" si="64"/>
        <v>9334.5439109396539</v>
      </c>
      <c r="T77" s="35">
        <f t="shared" si="65"/>
        <v>7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1433.6811132557254</v>
      </c>
      <c r="V77" s="57">
        <v>0</v>
      </c>
      <c r="W77" s="57">
        <v>1</v>
      </c>
      <c r="X77" s="61">
        <f t="shared" si="56"/>
        <v>6</v>
      </c>
      <c r="Y77" s="40">
        <f t="shared" si="66"/>
        <v>0</v>
      </c>
      <c r="Z77" s="40">
        <f t="shared" si="67"/>
        <v>-1433.6811132557254</v>
      </c>
      <c r="AA77" s="44">
        <f t="shared" si="68"/>
        <v>8602.0866795343536</v>
      </c>
      <c r="AB77" s="35">
        <f t="shared" si="69"/>
        <v>6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1539.9270931904957</v>
      </c>
      <c r="AD77" s="57">
        <v>0</v>
      </c>
      <c r="AE77" s="57">
        <v>0</v>
      </c>
      <c r="AF77" s="61">
        <f t="shared" si="57"/>
        <v>6</v>
      </c>
      <c r="AG77" s="40">
        <f t="shared" si="70"/>
        <v>0</v>
      </c>
      <c r="AH77" s="40">
        <f t="shared" si="71"/>
        <v>0</v>
      </c>
      <c r="AI77" s="44">
        <f t="shared" si="72"/>
        <v>9239.5625591429744</v>
      </c>
      <c r="AJ77" s="35">
        <f t="shared" si="58"/>
        <v>6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1650.9228671106548</v>
      </c>
      <c r="AL77" s="57">
        <v>0</v>
      </c>
      <c r="AM77" s="57">
        <v>0</v>
      </c>
      <c r="AN77" s="61">
        <f t="shared" si="59"/>
        <v>6</v>
      </c>
      <c r="AO77" s="40">
        <f t="shared" si="73"/>
        <v>0</v>
      </c>
      <c r="AP77" s="40">
        <f t="shared" si="74"/>
        <v>0</v>
      </c>
      <c r="AQ77" s="44">
        <f t="shared" si="75"/>
        <v>9905.5372026639288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672.38280000000009</v>
      </c>
      <c r="H78" s="35">
        <f t="shared" si="60"/>
        <v>672.38280000000009</v>
      </c>
      <c r="I78" s="187">
        <v>1</v>
      </c>
      <c r="J78" s="212">
        <v>1342</v>
      </c>
      <c r="K78" s="217">
        <f t="shared" si="61"/>
        <v>1342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1407.0792081991801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1407.0792081991801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1513.8753561928909</v>
      </c>
      <c r="V78" s="57">
        <v>0</v>
      </c>
      <c r="W78" s="57">
        <v>1</v>
      </c>
      <c r="X78" s="61">
        <f t="shared" si="56"/>
        <v>0</v>
      </c>
      <c r="Y78" s="40">
        <f t="shared" si="66"/>
        <v>0</v>
      </c>
      <c r="Z78" s="40">
        <f t="shared" si="67"/>
        <v>-1513.8753561928909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1627.2406611744541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1745.7919373319273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6079.0041200000005</v>
      </c>
      <c r="H79" s="35">
        <f t="shared" si="60"/>
        <v>1519.7510300000001</v>
      </c>
      <c r="I79" s="187">
        <v>2</v>
      </c>
      <c r="J79" s="212">
        <v>3514</v>
      </c>
      <c r="K79" s="217">
        <f t="shared" si="61"/>
        <v>1757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1842.0794374615502</v>
      </c>
      <c r="N79" s="57">
        <v>0</v>
      </c>
      <c r="O79" s="57">
        <v>0</v>
      </c>
      <c r="P79" s="61">
        <f t="shared" si="55"/>
        <v>2</v>
      </c>
      <c r="Q79" s="40">
        <f t="shared" si="62"/>
        <v>0</v>
      </c>
      <c r="R79" s="40">
        <f t="shared" si="63"/>
        <v>0</v>
      </c>
      <c r="S79" s="44">
        <f t="shared" si="64"/>
        <v>3684.1588749231005</v>
      </c>
      <c r="T79" s="35">
        <f t="shared" si="65"/>
        <v>2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1981.757414074187</v>
      </c>
      <c r="V79" s="57">
        <v>0</v>
      </c>
      <c r="W79" s="57">
        <v>0</v>
      </c>
      <c r="X79" s="61">
        <f t="shared" si="56"/>
        <v>2</v>
      </c>
      <c r="Y79" s="40">
        <f t="shared" si="66"/>
        <v>0</v>
      </c>
      <c r="Z79" s="40">
        <f t="shared" si="67"/>
        <v>0</v>
      </c>
      <c r="AA79" s="44">
        <f t="shared" si="68"/>
        <v>3963.5148281483739</v>
      </c>
      <c r="AB79" s="35">
        <f t="shared" si="69"/>
        <v>2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2130.0153020173288</v>
      </c>
      <c r="AD79" s="57">
        <v>0</v>
      </c>
      <c r="AE79" s="57">
        <v>0</v>
      </c>
      <c r="AF79" s="61">
        <f t="shared" si="57"/>
        <v>2</v>
      </c>
      <c r="AG79" s="40">
        <f t="shared" si="70"/>
        <v>0</v>
      </c>
      <c r="AH79" s="40">
        <f t="shared" si="71"/>
        <v>0</v>
      </c>
      <c r="AI79" s="44">
        <f t="shared" si="72"/>
        <v>4260.0306040346577</v>
      </c>
      <c r="AJ79" s="35">
        <f t="shared" si="58"/>
        <v>2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2285.0409235777543</v>
      </c>
      <c r="AL79" s="57">
        <v>0</v>
      </c>
      <c r="AM79" s="57">
        <v>0</v>
      </c>
      <c r="AN79" s="61">
        <f t="shared" si="59"/>
        <v>2</v>
      </c>
      <c r="AO79" s="40">
        <f t="shared" si="73"/>
        <v>0</v>
      </c>
      <c r="AP79" s="40">
        <f t="shared" si="74"/>
        <v>0</v>
      </c>
      <c r="AQ79" s="44">
        <f t="shared" si="75"/>
        <v>4570.0818471555085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1902</v>
      </c>
      <c r="K80" s="217">
        <f t="shared" si="61"/>
        <v>1902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1964.7659999999998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1964.7659999999998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2082.6519600000001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2082.6519600000001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2205.52842564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2205.52842564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2331.24354590148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2331.24354590148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2164</v>
      </c>
      <c r="K81" s="217">
        <f t="shared" ref="K81:K83" si="77">IFERROR(IF(J81="",G81,J81)/IF(I81="",F81,I81),"")</f>
        <v>2164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2235.4119999999998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2235.4119999999998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2369.5367200000001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2369.5367200000001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2509.33938648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2509.33938648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2652.37173150936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2652.37173150936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243</v>
      </c>
      <c r="G84" s="41">
        <f>SUM(G64:G83)</f>
        <v>98844.903929999986</v>
      </c>
      <c r="H84" s="41">
        <f>IFERROR(G84/F84,0)</f>
        <v>406.7691519753086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243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100765</v>
      </c>
      <c r="K84" s="41">
        <f>IFERROR(J84/I84,"")</f>
        <v>414.67078189300412</v>
      </c>
      <c r="L84" s="41">
        <f>SUM(L64:L83)</f>
        <v>243</v>
      </c>
      <c r="M84" s="41">
        <f>IFERROR(S84/P84,0)</f>
        <v>458.72316618100774</v>
      </c>
      <c r="N84" s="41">
        <f t="shared" ref="N84:T84" si="98">SUM(N64:N83)</f>
        <v>28</v>
      </c>
      <c r="O84" s="41">
        <f t="shared" si="98"/>
        <v>18</v>
      </c>
      <c r="P84" s="41">
        <f t="shared" si="98"/>
        <v>253</v>
      </c>
      <c r="Q84" s="41">
        <f t="shared" si="98"/>
        <v>15571.535148034749</v>
      </c>
      <c r="R84" s="41">
        <f t="shared" si="98"/>
        <v>-7970.5611055504733</v>
      </c>
      <c r="S84" s="45">
        <f t="shared" si="98"/>
        <v>116056.96104379496</v>
      </c>
      <c r="T84" s="41">
        <f t="shared" si="98"/>
        <v>253</v>
      </c>
      <c r="U84" s="41">
        <f>IFERROR(AA84/X84,0)</f>
        <v>488.0158681021087</v>
      </c>
      <c r="V84" s="41">
        <f t="shared" ref="V84:AB84" si="99">SUM(V64:V83)</f>
        <v>1</v>
      </c>
      <c r="W84" s="41">
        <f t="shared" si="99"/>
        <v>12</v>
      </c>
      <c r="X84" s="41">
        <f t="shared" si="99"/>
        <v>242</v>
      </c>
      <c r="Y84" s="41">
        <f t="shared" si="99"/>
        <v>264.75545321284568</v>
      </c>
      <c r="Z84" s="41">
        <f t="shared" si="99"/>
        <v>-7697.8087702453331</v>
      </c>
      <c r="AA84" s="45">
        <f t="shared" si="99"/>
        <v>118099.8400807103</v>
      </c>
      <c r="AB84" s="41">
        <f t="shared" si="99"/>
        <v>242</v>
      </c>
      <c r="AC84" s="41">
        <f>IFERROR(AI84/AF84,0)</f>
        <v>527.17570035801316</v>
      </c>
      <c r="AD84" s="41">
        <f t="shared" ref="AD84:AJ84" si="100">SUM(AD64:AD83)</f>
        <v>1</v>
      </c>
      <c r="AE84" s="41">
        <f t="shared" si="100"/>
        <v>1</v>
      </c>
      <c r="AF84" s="41">
        <f t="shared" si="100"/>
        <v>242</v>
      </c>
      <c r="AG84" s="41">
        <f t="shared" si="100"/>
        <v>225.58642567368352</v>
      </c>
      <c r="AH84" s="41">
        <f t="shared" si="100"/>
        <v>-286.93792362554728</v>
      </c>
      <c r="AI84" s="45">
        <f t="shared" si="100"/>
        <v>127576.51948663918</v>
      </c>
      <c r="AJ84" s="41">
        <f t="shared" si="100"/>
        <v>242</v>
      </c>
      <c r="AK84" s="41">
        <f>IFERROR(AQ84/AN84,0)</f>
        <v>570.04718434328936</v>
      </c>
      <c r="AL84" s="41">
        <f t="shared" ref="AL84:AQ84" si="101">SUM(AL64:AL83)</f>
        <v>0</v>
      </c>
      <c r="AM84" s="41">
        <f t="shared" si="101"/>
        <v>1</v>
      </c>
      <c r="AN84" s="41">
        <f t="shared" si="101"/>
        <v>241</v>
      </c>
      <c r="AO84" s="41">
        <f t="shared" si="101"/>
        <v>0</v>
      </c>
      <c r="AP84" s="41">
        <f t="shared" si="101"/>
        <v>-243.97430000390676</v>
      </c>
      <c r="AQ84" s="45">
        <f t="shared" si="101"/>
        <v>137381.37142673275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112158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115201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120885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130072.26000000001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-3898.9610437949596</v>
      </c>
      <c r="T86" s="39"/>
      <c r="U86" s="39"/>
      <c r="V86" s="53"/>
      <c r="W86" s="53"/>
      <c r="X86" s="110"/>
      <c r="Y86" s="39"/>
      <c r="Z86" s="39"/>
      <c r="AA86" s="54">
        <f>AA85-AA84</f>
        <v>-2898.8400807103026</v>
      </c>
      <c r="AB86" s="39"/>
      <c r="AC86" s="53"/>
      <c r="AD86" s="53"/>
      <c r="AE86" s="110"/>
      <c r="AF86" s="39"/>
      <c r="AG86" s="39"/>
      <c r="AH86" s="39"/>
      <c r="AI86" s="54">
        <f>AI85-AI84</f>
        <v>-6691.519486639183</v>
      </c>
      <c r="AJ86" s="53"/>
      <c r="AK86" s="53"/>
      <c r="AL86" s="110"/>
      <c r="AM86" s="110"/>
      <c r="AN86" s="110"/>
      <c r="AO86" s="110"/>
      <c r="AP86" s="111"/>
      <c r="AQ86" s="54">
        <f>AQ85-AQ84</f>
        <v>-7309.1114267327357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Policy Development, Research and Analysis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2</v>
      </c>
      <c r="G92" s="35">
        <f>SUMIFS(WORKING!$AC$3:$AC$6802,WORKING!$A$3:$A$6802,Results!$D$3,WORKING!$B$3:$B$6802,Results!A92,WORKING!$C$3:$C$6802,Results!C92)/1000</f>
        <v>224.33144000000001</v>
      </c>
      <c r="H92" s="35">
        <f>IFERROR(G92/F92,0)</f>
        <v>112.16572000000001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122.50066944080001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133.04185204618085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144.35506593492781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156.33725818285646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1</v>
      </c>
      <c r="G93" s="35">
        <f>SUMIFS(WORKING!$AC$3:$AC$6802,WORKING!$A$3:$A$6802,Results!$D$3,WORKING!$B$3:$B$6802,Results!A93,WORKING!$C$3:$C$6802,Results!C93)/1000</f>
        <v>107.03322</v>
      </c>
      <c r="H93" s="35">
        <f t="shared" ref="H93:H111" si="108">IFERROR(G93/F93,0)</f>
        <v>107.03322</v>
      </c>
      <c r="I93" s="187">
        <v>0</v>
      </c>
      <c r="J93" s="212">
        <v>0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116.89413173640001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126.9516454660268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137.74564806583737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149.17778458090726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2</v>
      </c>
      <c r="G95" s="35">
        <f>SUMIFS(WORKING!$AC$3:$AC$6802,WORKING!$A$3:$A$6802,Results!$D$3,WORKING!$B$3:$B$6802,Results!A95,WORKING!$C$3:$C$6802,Results!C95)/1000</f>
        <v>313.45657999999997</v>
      </c>
      <c r="H95" s="35">
        <f t="shared" si="108"/>
        <v>156.72828999999999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171.16796434189999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185.89558807585584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201.70172250724318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218.44235284510702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3</v>
      </c>
      <c r="G96" s="35">
        <f>SUMIFS(WORKING!$AC$3:$AC$6802,WORKING!$A$3:$A$6802,Results!$D$3,WORKING!$B$3:$B$6802,Results!A96,WORKING!$C$3:$C$6802,Results!C96)/1000</f>
        <v>646.64846</v>
      </c>
      <c r="H96" s="35">
        <f t="shared" si="108"/>
        <v>215.54948666666667</v>
      </c>
      <c r="I96" s="187">
        <v>0</v>
      </c>
      <c r="J96" s="212">
        <v>0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235.03602151845283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255.14366569233974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276.71272980479336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299.54378604203959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9</v>
      </c>
      <c r="G97" s="35">
        <f>SUMIFS(WORKING!$AC$3:$AC$6802,WORKING!$A$3:$A$6802,Results!$D$3,WORKING!$B$3:$B$6802,Results!A97,WORKING!$C$3:$C$6802,Results!C97)/1000</f>
        <v>1945.9380500000002</v>
      </c>
      <c r="H97" s="35">
        <f t="shared" si="108"/>
        <v>216.21533888888891</v>
      </c>
      <c r="I97" s="187">
        <v>4</v>
      </c>
      <c r="J97" s="212">
        <v>968</v>
      </c>
      <c r="K97" s="217">
        <f t="shared" si="109"/>
        <v>242</v>
      </c>
      <c r="L97" s="34">
        <f t="shared" si="102"/>
        <v>4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263.41835897870288</v>
      </c>
      <c r="N97" s="57">
        <v>0</v>
      </c>
      <c r="O97" s="57">
        <v>0</v>
      </c>
      <c r="P97" s="61">
        <f t="shared" si="103"/>
        <v>4</v>
      </c>
      <c r="Q97" s="40">
        <f t="shared" si="110"/>
        <v>0</v>
      </c>
      <c r="R97" s="40">
        <f t="shared" si="111"/>
        <v>0</v>
      </c>
      <c r="S97" s="44">
        <f t="shared" si="112"/>
        <v>1053.6734359148115</v>
      </c>
      <c r="T97" s="35">
        <f t="shared" si="113"/>
        <v>4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285.81044006891472</v>
      </c>
      <c r="V97" s="57">
        <v>0</v>
      </c>
      <c r="W97" s="57">
        <v>0</v>
      </c>
      <c r="X97" s="61">
        <f t="shared" si="104"/>
        <v>4</v>
      </c>
      <c r="Y97" s="40">
        <f t="shared" si="114"/>
        <v>0</v>
      </c>
      <c r="Z97" s="40">
        <f t="shared" si="115"/>
        <v>0</v>
      </c>
      <c r="AA97" s="44">
        <f t="shared" si="116"/>
        <v>1143.2417602756589</v>
      </c>
      <c r="AB97" s="35">
        <f t="shared" si="117"/>
        <v>4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309.81631656050905</v>
      </c>
      <c r="AD97" s="57">
        <v>0</v>
      </c>
      <c r="AE97" s="57">
        <v>0</v>
      </c>
      <c r="AF97" s="61">
        <f t="shared" si="105"/>
        <v>4</v>
      </c>
      <c r="AG97" s="40">
        <f t="shared" si="118"/>
        <v>0</v>
      </c>
      <c r="AH97" s="40">
        <f t="shared" si="119"/>
        <v>0</v>
      </c>
      <c r="AI97" s="44">
        <f t="shared" si="120"/>
        <v>1239.2652662420362</v>
      </c>
      <c r="AJ97" s="35">
        <f t="shared" si="106"/>
        <v>4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335.21052181067245</v>
      </c>
      <c r="AL97" s="57">
        <v>0</v>
      </c>
      <c r="AM97" s="57">
        <v>0</v>
      </c>
      <c r="AN97" s="61">
        <f t="shared" si="107"/>
        <v>4</v>
      </c>
      <c r="AO97" s="40">
        <f t="shared" si="121"/>
        <v>0</v>
      </c>
      <c r="AP97" s="40">
        <f t="shared" si="122"/>
        <v>0</v>
      </c>
      <c r="AQ97" s="44">
        <f t="shared" si="123"/>
        <v>1340.8420872426898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5</v>
      </c>
      <c r="G98" s="35">
        <f>SUMIFS(WORKING!$AC$3:$AC$6802,WORKING!$A$3:$A$6802,Results!$D$3,WORKING!$B$3:$B$6802,Results!A98,WORKING!$C$3:$C$6802,Results!C98)/1000</f>
        <v>1522.0965999999999</v>
      </c>
      <c r="H98" s="35">
        <f t="shared" si="108"/>
        <v>304.41931999999997</v>
      </c>
      <c r="I98" s="187">
        <v>2</v>
      </c>
      <c r="J98" s="212">
        <v>586</v>
      </c>
      <c r="K98" s="217">
        <f t="shared" si="109"/>
        <v>293</v>
      </c>
      <c r="L98" s="34">
        <f t="shared" si="102"/>
        <v>2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319.34354051385651</v>
      </c>
      <c r="N98" s="57">
        <v>0</v>
      </c>
      <c r="O98" s="57">
        <v>0</v>
      </c>
      <c r="P98" s="61">
        <f t="shared" si="103"/>
        <v>2</v>
      </c>
      <c r="Q98" s="40">
        <f t="shared" si="110"/>
        <v>0</v>
      </c>
      <c r="R98" s="40">
        <f t="shared" si="111"/>
        <v>0</v>
      </c>
      <c r="S98" s="44">
        <f t="shared" si="112"/>
        <v>638.68708102771302</v>
      </c>
      <c r="T98" s="35">
        <f t="shared" si="113"/>
        <v>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346.61921299054057</v>
      </c>
      <c r="V98" s="57">
        <v>0</v>
      </c>
      <c r="W98" s="57">
        <v>0</v>
      </c>
      <c r="X98" s="61">
        <f t="shared" si="104"/>
        <v>2</v>
      </c>
      <c r="Y98" s="40">
        <f t="shared" si="114"/>
        <v>0</v>
      </c>
      <c r="Z98" s="40">
        <f t="shared" si="115"/>
        <v>0</v>
      </c>
      <c r="AA98" s="44">
        <f t="shared" si="116"/>
        <v>693.23842598108115</v>
      </c>
      <c r="AB98" s="35">
        <f t="shared" si="117"/>
        <v>2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375.87300643189326</v>
      </c>
      <c r="AD98" s="57">
        <v>0</v>
      </c>
      <c r="AE98" s="57">
        <v>0</v>
      </c>
      <c r="AF98" s="61">
        <f t="shared" si="105"/>
        <v>2</v>
      </c>
      <c r="AG98" s="40">
        <f t="shared" si="118"/>
        <v>0</v>
      </c>
      <c r="AH98" s="40">
        <f t="shared" si="119"/>
        <v>0</v>
      </c>
      <c r="AI98" s="44">
        <f t="shared" si="120"/>
        <v>751.74601286378652</v>
      </c>
      <c r="AJ98" s="35">
        <f t="shared" si="106"/>
        <v>2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406.83332770816583</v>
      </c>
      <c r="AL98" s="57">
        <v>0</v>
      </c>
      <c r="AM98" s="57">
        <v>0</v>
      </c>
      <c r="AN98" s="61">
        <f t="shared" si="107"/>
        <v>2</v>
      </c>
      <c r="AO98" s="40">
        <f t="shared" si="121"/>
        <v>0</v>
      </c>
      <c r="AP98" s="40">
        <f t="shared" si="122"/>
        <v>0</v>
      </c>
      <c r="AQ98" s="44">
        <f t="shared" si="123"/>
        <v>813.66665541633165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3</v>
      </c>
      <c r="G99" s="35">
        <f>SUMIFS(WORKING!$AC$3:$AC$6802,WORKING!$A$3:$A$6802,Results!$D$3,WORKING!$B$3:$B$6802,Results!A99,WORKING!$C$3:$C$6802,Results!C99)/1000</f>
        <v>1111.9329399999999</v>
      </c>
      <c r="H99" s="35">
        <f t="shared" si="108"/>
        <v>370.64431333333329</v>
      </c>
      <c r="I99" s="187">
        <v>1</v>
      </c>
      <c r="J99" s="212">
        <v>360</v>
      </c>
      <c r="K99" s="217">
        <f t="shared" si="109"/>
        <v>360</v>
      </c>
      <c r="L99" s="34">
        <f t="shared" si="102"/>
        <v>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391.93767005409251</v>
      </c>
      <c r="N99" s="57">
        <v>0</v>
      </c>
      <c r="O99" s="57">
        <v>0</v>
      </c>
      <c r="P99" s="61">
        <f t="shared" si="103"/>
        <v>1</v>
      </c>
      <c r="Q99" s="40">
        <f t="shared" si="110"/>
        <v>0</v>
      </c>
      <c r="R99" s="40">
        <f t="shared" si="111"/>
        <v>0</v>
      </c>
      <c r="S99" s="44">
        <f t="shared" si="112"/>
        <v>391.93767005409251</v>
      </c>
      <c r="T99" s="35">
        <f t="shared" si="113"/>
        <v>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425.27812461469722</v>
      </c>
      <c r="V99" s="57">
        <v>0</v>
      </c>
      <c r="W99" s="57">
        <v>0</v>
      </c>
      <c r="X99" s="61">
        <f t="shared" si="104"/>
        <v>1</v>
      </c>
      <c r="Y99" s="40">
        <f t="shared" si="114"/>
        <v>0</v>
      </c>
      <c r="Z99" s="40">
        <f t="shared" si="115"/>
        <v>0</v>
      </c>
      <c r="AA99" s="44">
        <f t="shared" si="116"/>
        <v>425.27812461469722</v>
      </c>
      <c r="AB99" s="35">
        <f t="shared" si="117"/>
        <v>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461.0236976545101</v>
      </c>
      <c r="AD99" s="57">
        <v>0</v>
      </c>
      <c r="AE99" s="57">
        <v>0</v>
      </c>
      <c r="AF99" s="61">
        <f t="shared" si="105"/>
        <v>1</v>
      </c>
      <c r="AG99" s="40">
        <f t="shared" si="118"/>
        <v>0</v>
      </c>
      <c r="AH99" s="40">
        <f t="shared" si="119"/>
        <v>0</v>
      </c>
      <c r="AI99" s="44">
        <f t="shared" si="120"/>
        <v>461.0236976545101</v>
      </c>
      <c r="AJ99" s="35">
        <f t="shared" si="106"/>
        <v>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498.83928919555643</v>
      </c>
      <c r="AL99" s="57">
        <v>0</v>
      </c>
      <c r="AM99" s="57">
        <v>0</v>
      </c>
      <c r="AN99" s="61">
        <f t="shared" si="107"/>
        <v>1</v>
      </c>
      <c r="AO99" s="40">
        <f t="shared" si="121"/>
        <v>0</v>
      </c>
      <c r="AP99" s="40">
        <f t="shared" si="122"/>
        <v>0</v>
      </c>
      <c r="AQ99" s="44">
        <f t="shared" si="123"/>
        <v>498.83928919555643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10</v>
      </c>
      <c r="G100" s="35">
        <f>SUMIFS(WORKING!$AC$3:$AC$6802,WORKING!$A$3:$A$6802,Results!$D$3,WORKING!$B$3:$B$6802,Results!A100,WORKING!$C$3:$C$6802,Results!C100)/1000</f>
        <v>4471.0298700000003</v>
      </c>
      <c r="H100" s="35">
        <f t="shared" si="108"/>
        <v>447.10298700000004</v>
      </c>
      <c r="I100" s="187" t="s">
        <v>754</v>
      </c>
      <c r="J100" s="212">
        <v>0</v>
      </c>
      <c r="K100" s="217">
        <f t="shared" si="109"/>
        <v>0</v>
      </c>
      <c r="L100" s="34">
        <f t="shared" si="102"/>
        <v>10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10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10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10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10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10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10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10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6</v>
      </c>
      <c r="G101" s="35">
        <f>SUMIFS(WORKING!$AC$3:$AC$6802,WORKING!$A$3:$A$6802,Results!$D$3,WORKING!$B$3:$B$6802,Results!A101,WORKING!$C$3:$C$6802,Results!C101)/1000</f>
        <v>2738.2079199999998</v>
      </c>
      <c r="H101" s="35">
        <f t="shared" si="108"/>
        <v>456.36798666666664</v>
      </c>
      <c r="I101" s="187">
        <v>0</v>
      </c>
      <c r="J101" s="212">
        <v>0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497.51523255474018</v>
      </c>
      <c r="N101" s="57">
        <v>1</v>
      </c>
      <c r="O101" s="57">
        <v>0</v>
      </c>
      <c r="P101" s="61">
        <f t="shared" si="103"/>
        <v>1</v>
      </c>
      <c r="Q101" s="40">
        <f t="shared" si="110"/>
        <v>497.51523255474018</v>
      </c>
      <c r="R101" s="40">
        <f t="shared" si="111"/>
        <v>0</v>
      </c>
      <c r="S101" s="44">
        <f t="shared" si="112"/>
        <v>497.51523255474018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540.04589438887353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540.04589438887353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585.66454868861933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585.66454868861933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633.94856750896338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633.94856750896338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8</v>
      </c>
      <c r="G102" s="35">
        <f>SUMIFS(WORKING!$AC$3:$AC$6802,WORKING!$A$3:$A$6802,Results!$D$3,WORKING!$B$3:$B$6802,Results!A102,WORKING!$C$3:$C$6802,Results!C102)/1000</f>
        <v>4803.0474000000004</v>
      </c>
      <c r="H102" s="35">
        <f t="shared" si="108"/>
        <v>600.38092500000005</v>
      </c>
      <c r="I102" s="187">
        <v>6</v>
      </c>
      <c r="J102" s="212">
        <v>3718</v>
      </c>
      <c r="K102" s="217">
        <f t="shared" si="109"/>
        <v>619.66666666666663</v>
      </c>
      <c r="L102" s="34">
        <f t="shared" si="102"/>
        <v>6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676.50990289763115</v>
      </c>
      <c r="N102" s="57">
        <v>1</v>
      </c>
      <c r="O102" s="57">
        <v>0</v>
      </c>
      <c r="P102" s="61">
        <f t="shared" si="103"/>
        <v>7</v>
      </c>
      <c r="Q102" s="40">
        <f t="shared" si="110"/>
        <v>676.50990289763115</v>
      </c>
      <c r="R102" s="40">
        <f t="shared" si="111"/>
        <v>0</v>
      </c>
      <c r="S102" s="44">
        <f t="shared" si="112"/>
        <v>4735.5693202834182</v>
      </c>
      <c r="T102" s="35">
        <f t="shared" si="113"/>
        <v>7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734.44907442472424</v>
      </c>
      <c r="V102" s="57">
        <v>0</v>
      </c>
      <c r="W102" s="57">
        <v>0</v>
      </c>
      <c r="X102" s="61">
        <f t="shared" si="104"/>
        <v>7</v>
      </c>
      <c r="Y102" s="40">
        <f t="shared" si="114"/>
        <v>0</v>
      </c>
      <c r="Z102" s="40">
        <f t="shared" si="115"/>
        <v>0</v>
      </c>
      <c r="AA102" s="44">
        <f t="shared" si="116"/>
        <v>5141.1435209730698</v>
      </c>
      <c r="AB102" s="35">
        <f t="shared" si="117"/>
        <v>7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796.60521454733282</v>
      </c>
      <c r="AD102" s="57">
        <v>0</v>
      </c>
      <c r="AE102" s="57">
        <v>0</v>
      </c>
      <c r="AF102" s="61">
        <f t="shared" si="105"/>
        <v>7</v>
      </c>
      <c r="AG102" s="40">
        <f t="shared" si="118"/>
        <v>0</v>
      </c>
      <c r="AH102" s="40">
        <f t="shared" si="119"/>
        <v>0</v>
      </c>
      <c r="AI102" s="44">
        <f t="shared" si="120"/>
        <v>5576.2365018313294</v>
      </c>
      <c r="AJ102" s="35">
        <f t="shared" si="106"/>
        <v>7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862.40510027979121</v>
      </c>
      <c r="AL102" s="57">
        <v>0</v>
      </c>
      <c r="AM102" s="57">
        <v>0</v>
      </c>
      <c r="AN102" s="61">
        <f t="shared" si="107"/>
        <v>7</v>
      </c>
      <c r="AO102" s="40">
        <f t="shared" si="121"/>
        <v>0</v>
      </c>
      <c r="AP102" s="40">
        <f t="shared" si="122"/>
        <v>0</v>
      </c>
      <c r="AQ102" s="44">
        <f t="shared" si="123"/>
        <v>6036.8357019585383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25</v>
      </c>
      <c r="G103" s="35">
        <f>SUMIFS(WORKING!$AC$3:$AC$6802,WORKING!$A$3:$A$6802,Results!$D$3,WORKING!$B$3:$B$6802,Results!A103,WORKING!$C$3:$C$6802,Results!C103)/1000</f>
        <v>20342.134989999999</v>
      </c>
      <c r="H103" s="35">
        <f t="shared" si="108"/>
        <v>813.68539959999998</v>
      </c>
      <c r="I103" s="187">
        <v>6</v>
      </c>
      <c r="J103" s="212">
        <v>4380</v>
      </c>
      <c r="K103" s="217">
        <f t="shared" si="109"/>
        <v>730</v>
      </c>
      <c r="L103" s="34">
        <f t="shared" si="102"/>
        <v>6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797.06530774720829</v>
      </c>
      <c r="N103" s="57">
        <v>0</v>
      </c>
      <c r="O103" s="57">
        <v>0</v>
      </c>
      <c r="P103" s="61">
        <f t="shared" si="103"/>
        <v>6</v>
      </c>
      <c r="Q103" s="40">
        <f t="shared" si="110"/>
        <v>0</v>
      </c>
      <c r="R103" s="40">
        <f t="shared" si="111"/>
        <v>0</v>
      </c>
      <c r="S103" s="44">
        <f t="shared" si="112"/>
        <v>4782.3918464832495</v>
      </c>
      <c r="T103" s="35">
        <f t="shared" si="113"/>
        <v>6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865.43899545646298</v>
      </c>
      <c r="V103" s="57">
        <v>0</v>
      </c>
      <c r="W103" s="57">
        <v>0</v>
      </c>
      <c r="X103" s="61">
        <f t="shared" si="104"/>
        <v>6</v>
      </c>
      <c r="Y103" s="40">
        <f t="shared" si="114"/>
        <v>0</v>
      </c>
      <c r="Z103" s="40">
        <f t="shared" si="115"/>
        <v>0</v>
      </c>
      <c r="AA103" s="44">
        <f t="shared" si="116"/>
        <v>5192.6339727387776</v>
      </c>
      <c r="AB103" s="35">
        <f t="shared" si="117"/>
        <v>6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938.79969674362985</v>
      </c>
      <c r="AD103" s="57">
        <v>0</v>
      </c>
      <c r="AE103" s="57">
        <v>0</v>
      </c>
      <c r="AF103" s="61">
        <f t="shared" si="105"/>
        <v>6</v>
      </c>
      <c r="AG103" s="40">
        <f t="shared" si="118"/>
        <v>0</v>
      </c>
      <c r="AH103" s="40">
        <f t="shared" si="119"/>
        <v>0</v>
      </c>
      <c r="AI103" s="44">
        <f t="shared" si="120"/>
        <v>5632.7981804617793</v>
      </c>
      <c r="AJ103" s="35">
        <f t="shared" si="106"/>
        <v>6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1016.47367473928</v>
      </c>
      <c r="AL103" s="57">
        <v>0</v>
      </c>
      <c r="AM103" s="57">
        <v>0</v>
      </c>
      <c r="AN103" s="61">
        <f t="shared" si="107"/>
        <v>6</v>
      </c>
      <c r="AO103" s="40">
        <f t="shared" si="121"/>
        <v>0</v>
      </c>
      <c r="AP103" s="40">
        <f t="shared" si="122"/>
        <v>0</v>
      </c>
      <c r="AQ103" s="44">
        <f t="shared" si="123"/>
        <v>6098.8420484356802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19</v>
      </c>
      <c r="G104" s="35">
        <f>SUMIFS(WORKING!$AC$3:$AC$6802,WORKING!$A$3:$A$6802,Results!$D$3,WORKING!$B$3:$B$6802,Results!A104,WORKING!$C$3:$C$6802,Results!C104)/1000</f>
        <v>17306.510420000002</v>
      </c>
      <c r="H104" s="35">
        <f t="shared" si="108"/>
        <v>910.86896947368439</v>
      </c>
      <c r="I104" s="187">
        <v>7</v>
      </c>
      <c r="J104" s="212">
        <v>5770</v>
      </c>
      <c r="K104" s="217">
        <f t="shared" si="109"/>
        <v>824.28571428571433</v>
      </c>
      <c r="L104" s="34">
        <f t="shared" si="102"/>
        <v>7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864.00275326803046</v>
      </c>
      <c r="N104" s="57">
        <v>0</v>
      </c>
      <c r="O104" s="57">
        <v>1</v>
      </c>
      <c r="P104" s="61">
        <f t="shared" si="103"/>
        <v>6</v>
      </c>
      <c r="Q104" s="40">
        <f t="shared" si="110"/>
        <v>0</v>
      </c>
      <c r="R104" s="40">
        <f t="shared" si="111"/>
        <v>-864.00275326803046</v>
      </c>
      <c r="S104" s="44">
        <f t="shared" si="112"/>
        <v>5184.0165196081825</v>
      </c>
      <c r="T104" s="35">
        <f t="shared" si="113"/>
        <v>6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929.30446425634307</v>
      </c>
      <c r="V104" s="57">
        <v>0</v>
      </c>
      <c r="W104" s="57">
        <v>0</v>
      </c>
      <c r="X104" s="61">
        <f t="shared" si="104"/>
        <v>6</v>
      </c>
      <c r="Y104" s="40">
        <f t="shared" si="114"/>
        <v>0</v>
      </c>
      <c r="Z104" s="40">
        <f t="shared" si="115"/>
        <v>0</v>
      </c>
      <c r="AA104" s="44">
        <f t="shared" si="116"/>
        <v>5575.8267855380582</v>
      </c>
      <c r="AB104" s="35">
        <f t="shared" si="117"/>
        <v>6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998.59874362562482</v>
      </c>
      <c r="AD104" s="57">
        <v>0</v>
      </c>
      <c r="AE104" s="57">
        <v>0</v>
      </c>
      <c r="AF104" s="61">
        <f t="shared" si="105"/>
        <v>6</v>
      </c>
      <c r="AG104" s="40">
        <f t="shared" si="118"/>
        <v>0</v>
      </c>
      <c r="AH104" s="40">
        <f t="shared" si="119"/>
        <v>0</v>
      </c>
      <c r="AI104" s="44">
        <f t="shared" si="120"/>
        <v>5991.5924617537494</v>
      </c>
      <c r="AJ104" s="35">
        <f t="shared" si="106"/>
        <v>6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1071.0334491779697</v>
      </c>
      <c r="AL104" s="57">
        <v>0</v>
      </c>
      <c r="AM104" s="57">
        <v>0</v>
      </c>
      <c r="AN104" s="61">
        <f t="shared" si="107"/>
        <v>6</v>
      </c>
      <c r="AO104" s="40">
        <f t="shared" si="121"/>
        <v>0</v>
      </c>
      <c r="AP104" s="40">
        <f t="shared" si="122"/>
        <v>0</v>
      </c>
      <c r="AQ104" s="44">
        <f t="shared" si="123"/>
        <v>6426.2006950678187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11</v>
      </c>
      <c r="G105" s="35">
        <f>SUMIFS(WORKING!$AC$3:$AC$6802,WORKING!$A$3:$A$6802,Results!$D$3,WORKING!$B$3:$B$6802,Results!A105,WORKING!$C$3:$C$6802,Results!C105)/1000</f>
        <v>9537.8399399999998</v>
      </c>
      <c r="H105" s="35">
        <f t="shared" si="108"/>
        <v>867.07635818181814</v>
      </c>
      <c r="I105" s="187">
        <v>6</v>
      </c>
      <c r="J105" s="212">
        <v>5815</v>
      </c>
      <c r="K105" s="217">
        <f t="shared" si="109"/>
        <v>969.16666666666663</v>
      </c>
      <c r="L105" s="34">
        <f t="shared" si="102"/>
        <v>6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1016.0527161658678</v>
      </c>
      <c r="N105" s="57">
        <v>0</v>
      </c>
      <c r="O105" s="57">
        <v>1</v>
      </c>
      <c r="P105" s="61">
        <f t="shared" si="103"/>
        <v>5</v>
      </c>
      <c r="Q105" s="40">
        <f t="shared" si="110"/>
        <v>0</v>
      </c>
      <c r="R105" s="40">
        <f t="shared" si="111"/>
        <v>-1016.0527161658678</v>
      </c>
      <c r="S105" s="44">
        <f t="shared" si="112"/>
        <v>5080.2635808293389</v>
      </c>
      <c r="T105" s="35">
        <f t="shared" si="113"/>
        <v>5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1093.0488140875309</v>
      </c>
      <c r="V105" s="57">
        <v>0</v>
      </c>
      <c r="W105" s="57">
        <v>0</v>
      </c>
      <c r="X105" s="61">
        <f t="shared" si="104"/>
        <v>5</v>
      </c>
      <c r="Y105" s="40">
        <f t="shared" si="114"/>
        <v>0</v>
      </c>
      <c r="Z105" s="40">
        <f t="shared" si="115"/>
        <v>0</v>
      </c>
      <c r="AA105" s="44">
        <f t="shared" si="116"/>
        <v>5465.244070437655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1174.7703273252405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5873.8516366262029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1260.2172115087935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6301.0860575439674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3</v>
      </c>
      <c r="G106" s="35">
        <f>SUMIFS(WORKING!$AC$3:$AC$6802,WORKING!$A$3:$A$6802,Results!$D$3,WORKING!$B$3:$B$6802,Results!A106,WORKING!$C$3:$C$6802,Results!C106)/1000</f>
        <v>4040.4955299999992</v>
      </c>
      <c r="H106" s="35">
        <f t="shared" si="108"/>
        <v>1346.8318433333332</v>
      </c>
      <c r="I106" s="187">
        <v>1</v>
      </c>
      <c r="J106" s="212">
        <v>1648</v>
      </c>
      <c r="K106" s="217">
        <f t="shared" si="109"/>
        <v>1648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1727.742485950718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1727.742485950718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1858.6874310524049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1858.6874310524049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1997.670269488561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1997.670269488561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2142.9906566170848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2142.9906566170848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107</v>
      </c>
      <c r="G112" s="41">
        <f>SUM(G92:G111)</f>
        <v>69110.70336</v>
      </c>
      <c r="H112" s="41">
        <f>IFERROR(G112/F112,0)</f>
        <v>645.8944239252337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43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23245</v>
      </c>
      <c r="K112" s="41">
        <f>IFERROR(J112/I112,"")</f>
        <v>540.58139534883719</v>
      </c>
      <c r="L112" s="41">
        <f>SUM(L92:L111)</f>
        <v>43</v>
      </c>
      <c r="M112" s="41">
        <f>IFERROR(S112/P112,0)</f>
        <v>560.27435285363401</v>
      </c>
      <c r="N112" s="41">
        <f t="shared" ref="N112:T112" si="124">SUM(N92:N111)</f>
        <v>2</v>
      </c>
      <c r="O112" s="41">
        <f t="shared" si="124"/>
        <v>2</v>
      </c>
      <c r="P112" s="41">
        <f t="shared" si="124"/>
        <v>43</v>
      </c>
      <c r="Q112" s="41">
        <f t="shared" si="124"/>
        <v>1174.0251354523714</v>
      </c>
      <c r="R112" s="41">
        <f t="shared" si="124"/>
        <v>-1880.0554694338982</v>
      </c>
      <c r="S112" s="45">
        <f t="shared" si="124"/>
        <v>24091.797172706265</v>
      </c>
      <c r="T112" s="41">
        <f t="shared" si="124"/>
        <v>43</v>
      </c>
      <c r="U112" s="41">
        <f>IFERROR(AA112/X112,0)</f>
        <v>605.47302293023893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43</v>
      </c>
      <c r="Y112" s="41">
        <f t="shared" si="125"/>
        <v>0</v>
      </c>
      <c r="Z112" s="41">
        <f t="shared" si="125"/>
        <v>0</v>
      </c>
      <c r="AA112" s="45">
        <f t="shared" si="125"/>
        <v>26035.339986000272</v>
      </c>
      <c r="AB112" s="41">
        <f t="shared" si="125"/>
        <v>43</v>
      </c>
      <c r="AC112" s="41">
        <f>IFERROR(AI112/AF112,0)</f>
        <v>653.71740873512965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43</v>
      </c>
      <c r="AG112" s="41">
        <f t="shared" si="126"/>
        <v>0</v>
      </c>
      <c r="AH112" s="41">
        <f t="shared" si="126"/>
        <v>0</v>
      </c>
      <c r="AI112" s="45">
        <f t="shared" si="126"/>
        <v>28109.848575610573</v>
      </c>
      <c r="AJ112" s="41">
        <f t="shared" si="126"/>
        <v>43</v>
      </c>
      <c r="AK112" s="41">
        <f>IFERROR(AQ112/AN112,0)</f>
        <v>704.4942269531773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43</v>
      </c>
      <c r="AO112" s="41">
        <f t="shared" si="127"/>
        <v>0</v>
      </c>
      <c r="AP112" s="41">
        <f t="shared" si="127"/>
        <v>0</v>
      </c>
      <c r="AQ112" s="45">
        <f t="shared" si="127"/>
        <v>30293.251758986626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22520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24334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26052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28031.952000000001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-1571.797172706265</v>
      </c>
      <c r="T114" s="39"/>
      <c r="U114" s="39"/>
      <c r="V114" s="53"/>
      <c r="W114" s="53"/>
      <c r="X114" s="110"/>
      <c r="Y114" s="39"/>
      <c r="Z114" s="39"/>
      <c r="AA114" s="54">
        <f>AA113-AA112</f>
        <v>-1701.3399860002719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-2057.8485756105729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-2261.2997589866245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Labour Relations and Human Resource Management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20</v>
      </c>
      <c r="H120" s="35">
        <f>IFERROR(G120/F120,0)</f>
        <v>0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1</v>
      </c>
      <c r="J121" s="212">
        <v>146</v>
      </c>
      <c r="K121" s="217">
        <f t="shared" ref="K121:K139" si="135">IFERROR(IF(J121="",G121,J121)/IF(I121="",F121,I121),"")</f>
        <v>146</v>
      </c>
      <c r="L121" s="34">
        <f t="shared" si="128"/>
        <v>1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156.77884194003741</v>
      </c>
      <c r="N121" s="57">
        <v>0</v>
      </c>
      <c r="O121" s="57">
        <v>0</v>
      </c>
      <c r="P121" s="61">
        <f t="shared" si="129"/>
        <v>1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156.77884194003741</v>
      </c>
      <c r="T121" s="35">
        <f t="shared" ref="T121:T139" si="139">P121</f>
        <v>1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167.75855326551334</v>
      </c>
      <c r="V121" s="57">
        <v>0</v>
      </c>
      <c r="W121" s="57">
        <v>0</v>
      </c>
      <c r="X121" s="61">
        <f t="shared" si="130"/>
        <v>1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167.75855326551334</v>
      </c>
      <c r="AB121" s="35">
        <f t="shared" ref="AB121:AB139" si="143">X121</f>
        <v>1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179.33944946975203</v>
      </c>
      <c r="AD121" s="57">
        <v>0</v>
      </c>
      <c r="AE121" s="57">
        <v>1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-179.33944946975203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191.36113216315024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2</v>
      </c>
      <c r="J123" s="212">
        <v>372</v>
      </c>
      <c r="K123" s="217">
        <f t="shared" si="135"/>
        <v>186</v>
      </c>
      <c r="L123" s="34">
        <f t="shared" si="128"/>
        <v>2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199.73194932086957</v>
      </c>
      <c r="N123" s="57">
        <v>0</v>
      </c>
      <c r="O123" s="57">
        <v>0</v>
      </c>
      <c r="P123" s="61">
        <f t="shared" si="129"/>
        <v>2</v>
      </c>
      <c r="Q123" s="40">
        <f t="shared" si="136"/>
        <v>0</v>
      </c>
      <c r="R123" s="40">
        <f t="shared" si="137"/>
        <v>0</v>
      </c>
      <c r="S123" s="44">
        <f t="shared" si="138"/>
        <v>399.46389864173915</v>
      </c>
      <c r="T123" s="35">
        <f t="shared" si="139"/>
        <v>2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213.719800735517</v>
      </c>
      <c r="V123" s="57">
        <v>0</v>
      </c>
      <c r="W123" s="57">
        <v>0</v>
      </c>
      <c r="X123" s="61">
        <f t="shared" si="130"/>
        <v>2</v>
      </c>
      <c r="Y123" s="40">
        <f t="shared" si="140"/>
        <v>0</v>
      </c>
      <c r="Z123" s="40">
        <f t="shared" si="141"/>
        <v>0</v>
      </c>
      <c r="AA123" s="44">
        <f t="shared" si="142"/>
        <v>427.439601471034</v>
      </c>
      <c r="AB123" s="35">
        <f t="shared" si="143"/>
        <v>2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228.47354521488955</v>
      </c>
      <c r="AD123" s="57">
        <v>0</v>
      </c>
      <c r="AE123" s="57">
        <v>2</v>
      </c>
      <c r="AF123" s="61">
        <f t="shared" si="131"/>
        <v>0</v>
      </c>
      <c r="AG123" s="40">
        <f t="shared" si="144"/>
        <v>0</v>
      </c>
      <c r="AH123" s="40">
        <f t="shared" si="145"/>
        <v>-456.94709042977911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243.78883960510922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6</v>
      </c>
      <c r="J124" s="212">
        <v>1212</v>
      </c>
      <c r="K124" s="217">
        <f t="shared" si="135"/>
        <v>202</v>
      </c>
      <c r="L124" s="34">
        <f t="shared" si="128"/>
        <v>6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216.91319227320244</v>
      </c>
      <c r="N124" s="57">
        <v>0</v>
      </c>
      <c r="O124" s="57">
        <v>0</v>
      </c>
      <c r="P124" s="61">
        <f t="shared" si="129"/>
        <v>6</v>
      </c>
      <c r="Q124" s="40">
        <f t="shared" si="136"/>
        <v>0</v>
      </c>
      <c r="R124" s="40">
        <f t="shared" si="137"/>
        <v>0</v>
      </c>
      <c r="S124" s="44">
        <f t="shared" si="138"/>
        <v>1301.4791536392147</v>
      </c>
      <c r="T124" s="35">
        <f t="shared" si="139"/>
        <v>6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232.10429972351847</v>
      </c>
      <c r="V124" s="57">
        <v>0</v>
      </c>
      <c r="W124" s="57">
        <v>0</v>
      </c>
      <c r="X124" s="61">
        <f t="shared" si="130"/>
        <v>6</v>
      </c>
      <c r="Y124" s="40">
        <f t="shared" si="140"/>
        <v>0</v>
      </c>
      <c r="Z124" s="40">
        <f t="shared" si="141"/>
        <v>0</v>
      </c>
      <c r="AA124" s="44">
        <f t="shared" si="142"/>
        <v>1392.6257983411108</v>
      </c>
      <c r="AB124" s="35">
        <f t="shared" si="143"/>
        <v>6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248.12718351294458</v>
      </c>
      <c r="AD124" s="57">
        <v>0</v>
      </c>
      <c r="AE124" s="57">
        <v>3</v>
      </c>
      <c r="AF124" s="61">
        <f t="shared" si="131"/>
        <v>3</v>
      </c>
      <c r="AG124" s="40">
        <f t="shared" si="144"/>
        <v>0</v>
      </c>
      <c r="AH124" s="40">
        <f t="shared" si="145"/>
        <v>-744.38155053883372</v>
      </c>
      <c r="AI124" s="44">
        <f t="shared" si="146"/>
        <v>744.38155053883372</v>
      </c>
      <c r="AJ124" s="35">
        <f t="shared" si="132"/>
        <v>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264.75992258189279</v>
      </c>
      <c r="AL124" s="57">
        <v>0</v>
      </c>
      <c r="AM124" s="57">
        <v>0</v>
      </c>
      <c r="AN124" s="61">
        <f t="shared" si="133"/>
        <v>3</v>
      </c>
      <c r="AO124" s="40">
        <f t="shared" si="147"/>
        <v>0</v>
      </c>
      <c r="AP124" s="40">
        <f t="shared" si="148"/>
        <v>0</v>
      </c>
      <c r="AQ124" s="44">
        <f t="shared" si="149"/>
        <v>794.27976774567833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3</v>
      </c>
      <c r="G125" s="35">
        <f>SUMIFS(WORKING!$AC$3:$AC$6802,WORKING!$A$3:$A$6802,Results!$D$3,WORKING!$B$3:$B$6802,Results!A125,WORKING!$C$3:$C$6802,Results!C125)/1000</f>
        <v>769.09663999999998</v>
      </c>
      <c r="H125" s="35">
        <f t="shared" si="134"/>
        <v>256.36554666666666</v>
      </c>
      <c r="I125" s="187">
        <v>5</v>
      </c>
      <c r="J125" s="212">
        <v>1210</v>
      </c>
      <c r="K125" s="217">
        <f t="shared" si="135"/>
        <v>242</v>
      </c>
      <c r="L125" s="34">
        <f t="shared" si="128"/>
        <v>5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263.11724533683042</v>
      </c>
      <c r="N125" s="57">
        <v>0</v>
      </c>
      <c r="O125" s="57">
        <v>0</v>
      </c>
      <c r="P125" s="61">
        <f t="shared" si="129"/>
        <v>5</v>
      </c>
      <c r="Q125" s="40">
        <f t="shared" si="136"/>
        <v>0</v>
      </c>
      <c r="R125" s="40">
        <f t="shared" si="137"/>
        <v>0</v>
      </c>
      <c r="S125" s="44">
        <f t="shared" si="138"/>
        <v>1315.5862266841521</v>
      </c>
      <c r="T125" s="35">
        <f t="shared" si="139"/>
        <v>5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285.38898759890043</v>
      </c>
      <c r="V125" s="57">
        <v>0</v>
      </c>
      <c r="W125" s="57">
        <v>0</v>
      </c>
      <c r="X125" s="61">
        <f t="shared" si="130"/>
        <v>5</v>
      </c>
      <c r="Y125" s="40">
        <f t="shared" si="140"/>
        <v>0</v>
      </c>
      <c r="Z125" s="40">
        <f t="shared" si="141"/>
        <v>0</v>
      </c>
      <c r="AA125" s="44">
        <f t="shared" si="142"/>
        <v>1426.9449379945022</v>
      </c>
      <c r="AB125" s="35">
        <f t="shared" si="143"/>
        <v>5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309.25689622446987</v>
      </c>
      <c r="AD125" s="57">
        <v>0</v>
      </c>
      <c r="AE125" s="57">
        <v>0</v>
      </c>
      <c r="AF125" s="61">
        <f t="shared" si="131"/>
        <v>5</v>
      </c>
      <c r="AG125" s="40">
        <f t="shared" si="144"/>
        <v>0</v>
      </c>
      <c r="AH125" s="40">
        <f t="shared" si="145"/>
        <v>0</v>
      </c>
      <c r="AI125" s="44">
        <f t="shared" si="146"/>
        <v>1546.2844811223495</v>
      </c>
      <c r="AJ125" s="35">
        <f t="shared" si="132"/>
        <v>5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334.49451912361542</v>
      </c>
      <c r="AL125" s="57">
        <v>0</v>
      </c>
      <c r="AM125" s="57">
        <v>0</v>
      </c>
      <c r="AN125" s="61">
        <f t="shared" si="133"/>
        <v>5</v>
      </c>
      <c r="AO125" s="40">
        <f t="shared" si="147"/>
        <v>0</v>
      </c>
      <c r="AP125" s="40">
        <f t="shared" si="148"/>
        <v>0</v>
      </c>
      <c r="AQ125" s="44">
        <f t="shared" si="149"/>
        <v>1672.4725956180771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306.27267999999998</v>
      </c>
      <c r="H126" s="35">
        <f t="shared" si="134"/>
        <v>306.27267999999998</v>
      </c>
      <c r="I126" s="187">
        <v>4</v>
      </c>
      <c r="J126" s="212">
        <v>1172</v>
      </c>
      <c r="K126" s="217">
        <f t="shared" si="135"/>
        <v>293</v>
      </c>
      <c r="L126" s="34">
        <f t="shared" si="128"/>
        <v>4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318.76979744559816</v>
      </c>
      <c r="N126" s="57">
        <v>0</v>
      </c>
      <c r="O126" s="57">
        <v>0</v>
      </c>
      <c r="P126" s="61">
        <f t="shared" si="129"/>
        <v>4</v>
      </c>
      <c r="Q126" s="40">
        <f t="shared" si="136"/>
        <v>0</v>
      </c>
      <c r="R126" s="40">
        <f t="shared" si="137"/>
        <v>0</v>
      </c>
      <c r="S126" s="44">
        <f t="shared" si="138"/>
        <v>1275.0791897823926</v>
      </c>
      <c r="T126" s="35">
        <f t="shared" si="139"/>
        <v>4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345.82012694503999</v>
      </c>
      <c r="V126" s="57">
        <v>0</v>
      </c>
      <c r="W126" s="57">
        <v>0</v>
      </c>
      <c r="X126" s="61">
        <f t="shared" si="130"/>
        <v>4</v>
      </c>
      <c r="Y126" s="40">
        <f t="shared" si="140"/>
        <v>0</v>
      </c>
      <c r="Z126" s="40">
        <f t="shared" si="141"/>
        <v>0</v>
      </c>
      <c r="AA126" s="44">
        <f t="shared" si="142"/>
        <v>1383.28050778016</v>
      </c>
      <c r="AB126" s="35">
        <f t="shared" si="143"/>
        <v>4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374.81533554632892</v>
      </c>
      <c r="AD126" s="57">
        <v>0</v>
      </c>
      <c r="AE126" s="57">
        <v>1</v>
      </c>
      <c r="AF126" s="61">
        <f t="shared" si="131"/>
        <v>3</v>
      </c>
      <c r="AG126" s="40">
        <f t="shared" si="144"/>
        <v>0</v>
      </c>
      <c r="AH126" s="40">
        <f t="shared" si="145"/>
        <v>-374.81533554632892</v>
      </c>
      <c r="AI126" s="44">
        <f t="shared" si="146"/>
        <v>1124.4460066389868</v>
      </c>
      <c r="AJ126" s="35">
        <f t="shared" si="132"/>
        <v>3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405.48171051939352</v>
      </c>
      <c r="AL126" s="57">
        <v>0</v>
      </c>
      <c r="AM126" s="57">
        <v>0</v>
      </c>
      <c r="AN126" s="61">
        <f t="shared" si="133"/>
        <v>3</v>
      </c>
      <c r="AO126" s="40">
        <f t="shared" si="147"/>
        <v>0</v>
      </c>
      <c r="AP126" s="40">
        <f t="shared" si="148"/>
        <v>0</v>
      </c>
      <c r="AQ126" s="44">
        <f t="shared" si="149"/>
        <v>1216.4451315581805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2</v>
      </c>
      <c r="J127" s="212">
        <v>360</v>
      </c>
      <c r="K127" s="217">
        <f t="shared" si="135"/>
        <v>180</v>
      </c>
      <c r="L127" s="34">
        <f t="shared" si="128"/>
        <v>2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193.28898321374476</v>
      </c>
      <c r="N127" s="57">
        <v>0</v>
      </c>
      <c r="O127" s="57">
        <v>1</v>
      </c>
      <c r="P127" s="61">
        <f t="shared" si="129"/>
        <v>1</v>
      </c>
      <c r="Q127" s="40">
        <f t="shared" si="136"/>
        <v>0</v>
      </c>
      <c r="R127" s="40">
        <f t="shared" si="137"/>
        <v>-193.28898321374476</v>
      </c>
      <c r="S127" s="44">
        <f t="shared" si="138"/>
        <v>193.28898321374476</v>
      </c>
      <c r="T127" s="35">
        <f t="shared" si="139"/>
        <v>1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206.82561361501647</v>
      </c>
      <c r="V127" s="57">
        <v>0</v>
      </c>
      <c r="W127" s="57">
        <v>0</v>
      </c>
      <c r="X127" s="61">
        <f t="shared" si="130"/>
        <v>1</v>
      </c>
      <c r="Y127" s="40">
        <f t="shared" si="140"/>
        <v>0</v>
      </c>
      <c r="Z127" s="40">
        <f t="shared" si="141"/>
        <v>0</v>
      </c>
      <c r="AA127" s="44">
        <f t="shared" si="142"/>
        <v>206.82561361501647</v>
      </c>
      <c r="AB127" s="35">
        <f t="shared" si="143"/>
        <v>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221.10343085311894</v>
      </c>
      <c r="AD127" s="57">
        <v>0</v>
      </c>
      <c r="AE127" s="57">
        <v>0</v>
      </c>
      <c r="AF127" s="61">
        <f t="shared" si="131"/>
        <v>1</v>
      </c>
      <c r="AG127" s="40">
        <f t="shared" si="144"/>
        <v>0</v>
      </c>
      <c r="AH127" s="40">
        <f t="shared" si="145"/>
        <v>0</v>
      </c>
      <c r="AI127" s="44">
        <f t="shared" si="146"/>
        <v>221.10343085311894</v>
      </c>
      <c r="AJ127" s="35">
        <f t="shared" si="132"/>
        <v>1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235.92468348881539</v>
      </c>
      <c r="AL127" s="57">
        <v>0</v>
      </c>
      <c r="AM127" s="57">
        <v>0</v>
      </c>
      <c r="AN127" s="61">
        <f t="shared" si="133"/>
        <v>1</v>
      </c>
      <c r="AO127" s="40">
        <f t="shared" si="147"/>
        <v>0</v>
      </c>
      <c r="AP127" s="40">
        <f t="shared" si="148"/>
        <v>0</v>
      </c>
      <c r="AQ127" s="44">
        <f t="shared" si="149"/>
        <v>235.92468348881539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2</v>
      </c>
      <c r="G128" s="35">
        <f>SUMIFS(WORKING!$AC$3:$AC$6802,WORKING!$A$3:$A$6802,Results!$D$3,WORKING!$B$3:$B$6802,Results!A128,WORKING!$C$3:$C$6802,Results!C128)/1000</f>
        <v>927.98827000000006</v>
      </c>
      <c r="H128" s="35">
        <f t="shared" si="134"/>
        <v>463.99413500000003</v>
      </c>
      <c r="I128" s="187">
        <v>11</v>
      </c>
      <c r="J128" s="212">
        <v>3780</v>
      </c>
      <c r="K128" s="217">
        <f t="shared" si="135"/>
        <v>343.63636363636363</v>
      </c>
      <c r="L128" s="34">
        <f t="shared" si="128"/>
        <v>11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374.70553347428489</v>
      </c>
      <c r="N128" s="57">
        <v>0</v>
      </c>
      <c r="O128" s="57">
        <v>2</v>
      </c>
      <c r="P128" s="61">
        <f t="shared" si="129"/>
        <v>9</v>
      </c>
      <c r="Q128" s="40">
        <f t="shared" si="136"/>
        <v>0</v>
      </c>
      <c r="R128" s="40">
        <f t="shared" si="137"/>
        <v>-749.41106694856978</v>
      </c>
      <c r="S128" s="44">
        <f t="shared" si="138"/>
        <v>3372.3498012685641</v>
      </c>
      <c r="T128" s="35">
        <f t="shared" si="139"/>
        <v>9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406.76085616986524</v>
      </c>
      <c r="V128" s="57">
        <v>0</v>
      </c>
      <c r="W128" s="57">
        <v>0</v>
      </c>
      <c r="X128" s="61">
        <f t="shared" si="130"/>
        <v>9</v>
      </c>
      <c r="Y128" s="40">
        <f t="shared" si="140"/>
        <v>0</v>
      </c>
      <c r="Z128" s="40">
        <f t="shared" si="141"/>
        <v>0</v>
      </c>
      <c r="AA128" s="44">
        <f t="shared" si="142"/>
        <v>3660.8477055287872</v>
      </c>
      <c r="AB128" s="35">
        <f t="shared" si="143"/>
        <v>9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441.14599935543657</v>
      </c>
      <c r="AD128" s="57">
        <v>0</v>
      </c>
      <c r="AE128" s="57">
        <v>2</v>
      </c>
      <c r="AF128" s="61">
        <f t="shared" si="131"/>
        <v>7</v>
      </c>
      <c r="AG128" s="40">
        <f t="shared" si="144"/>
        <v>0</v>
      </c>
      <c r="AH128" s="40">
        <f t="shared" si="145"/>
        <v>-882.29199871087314</v>
      </c>
      <c r="AI128" s="44">
        <f t="shared" si="146"/>
        <v>3088.0219954880558</v>
      </c>
      <c r="AJ128" s="35">
        <f t="shared" si="132"/>
        <v>7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477.54322710604612</v>
      </c>
      <c r="AL128" s="57">
        <v>0</v>
      </c>
      <c r="AM128" s="57">
        <v>0</v>
      </c>
      <c r="AN128" s="61">
        <f t="shared" si="133"/>
        <v>7</v>
      </c>
      <c r="AO128" s="40">
        <f t="shared" si="147"/>
        <v>0</v>
      </c>
      <c r="AP128" s="40">
        <f t="shared" si="148"/>
        <v>0</v>
      </c>
      <c r="AQ128" s="44">
        <f t="shared" si="149"/>
        <v>3342.8025897423227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2</v>
      </c>
      <c r="G129" s="35">
        <f>SUMIFS(WORKING!$AC$3:$AC$6802,WORKING!$A$3:$A$6802,Results!$D$3,WORKING!$B$3:$B$6802,Results!A129,WORKING!$C$3:$C$6802,Results!C129)/1000</f>
        <v>1041.95317</v>
      </c>
      <c r="H129" s="35">
        <f t="shared" si="134"/>
        <v>520.976585</v>
      </c>
      <c r="I129" s="187">
        <v>5</v>
      </c>
      <c r="J129" s="212">
        <v>2640</v>
      </c>
      <c r="K129" s="217">
        <f t="shared" si="135"/>
        <v>528</v>
      </c>
      <c r="L129" s="34">
        <f t="shared" si="128"/>
        <v>5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575.4649496389344</v>
      </c>
      <c r="N129" s="57">
        <v>1</v>
      </c>
      <c r="O129" s="57">
        <v>0</v>
      </c>
      <c r="P129" s="61">
        <f t="shared" si="129"/>
        <v>6</v>
      </c>
      <c r="Q129" s="40">
        <f t="shared" si="136"/>
        <v>575.4649496389344</v>
      </c>
      <c r="R129" s="40">
        <f t="shared" si="137"/>
        <v>0</v>
      </c>
      <c r="S129" s="44">
        <f t="shared" si="138"/>
        <v>3452.7896978336066</v>
      </c>
      <c r="T129" s="35">
        <f t="shared" si="139"/>
        <v>6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624.61158344350827</v>
      </c>
      <c r="V129" s="57">
        <v>0</v>
      </c>
      <c r="W129" s="57">
        <v>0</v>
      </c>
      <c r="X129" s="61">
        <f t="shared" si="130"/>
        <v>6</v>
      </c>
      <c r="Y129" s="40">
        <f t="shared" si="140"/>
        <v>0</v>
      </c>
      <c r="Z129" s="40">
        <f t="shared" si="141"/>
        <v>0</v>
      </c>
      <c r="AA129" s="44">
        <f t="shared" si="142"/>
        <v>3747.6695006610498</v>
      </c>
      <c r="AB129" s="35">
        <f t="shared" si="143"/>
        <v>6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677.32220022335537</v>
      </c>
      <c r="AD129" s="57">
        <v>0</v>
      </c>
      <c r="AE129" s="57">
        <v>2</v>
      </c>
      <c r="AF129" s="61">
        <f t="shared" si="131"/>
        <v>4</v>
      </c>
      <c r="AG129" s="40">
        <f t="shared" si="144"/>
        <v>0</v>
      </c>
      <c r="AH129" s="40">
        <f t="shared" si="145"/>
        <v>-1354.6444004467107</v>
      </c>
      <c r="AI129" s="44">
        <f t="shared" si="146"/>
        <v>2709.2888008934215</v>
      </c>
      <c r="AJ129" s="35">
        <f t="shared" si="132"/>
        <v>4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733.10753939839287</v>
      </c>
      <c r="AL129" s="57">
        <v>0</v>
      </c>
      <c r="AM129" s="57">
        <v>0</v>
      </c>
      <c r="AN129" s="61">
        <f t="shared" si="133"/>
        <v>4</v>
      </c>
      <c r="AO129" s="40">
        <f t="shared" si="147"/>
        <v>0</v>
      </c>
      <c r="AP129" s="40">
        <f t="shared" si="148"/>
        <v>0</v>
      </c>
      <c r="AQ129" s="44">
        <f t="shared" si="149"/>
        <v>2932.4301575935715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3</v>
      </c>
      <c r="G130" s="35">
        <f>SUMIFS(WORKING!$AC$3:$AC$6802,WORKING!$A$3:$A$6802,Results!$D$3,WORKING!$B$3:$B$6802,Results!A130,WORKING!$C$3:$C$6802,Results!C130)/1000</f>
        <v>1685.90843</v>
      </c>
      <c r="H130" s="35">
        <f t="shared" si="134"/>
        <v>561.96947666666665</v>
      </c>
      <c r="I130" s="187">
        <v>5</v>
      </c>
      <c r="J130" s="212">
        <v>2890</v>
      </c>
      <c r="K130" s="217">
        <f t="shared" si="135"/>
        <v>578</v>
      </c>
      <c r="L130" s="34">
        <f t="shared" si="128"/>
        <v>5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631.09675715013577</v>
      </c>
      <c r="N130" s="57">
        <v>0</v>
      </c>
      <c r="O130" s="57">
        <v>0</v>
      </c>
      <c r="P130" s="61">
        <f t="shared" si="129"/>
        <v>5</v>
      </c>
      <c r="Q130" s="40">
        <f t="shared" si="136"/>
        <v>0</v>
      </c>
      <c r="R130" s="40">
        <f t="shared" si="137"/>
        <v>0</v>
      </c>
      <c r="S130" s="44">
        <f t="shared" si="138"/>
        <v>3155.4837857506791</v>
      </c>
      <c r="T130" s="35">
        <f t="shared" si="139"/>
        <v>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685.2287323731955</v>
      </c>
      <c r="V130" s="57">
        <v>0</v>
      </c>
      <c r="W130" s="57">
        <v>0</v>
      </c>
      <c r="X130" s="61">
        <f t="shared" si="130"/>
        <v>5</v>
      </c>
      <c r="Y130" s="40">
        <f t="shared" si="140"/>
        <v>0</v>
      </c>
      <c r="Z130" s="40">
        <f t="shared" si="141"/>
        <v>0</v>
      </c>
      <c r="AA130" s="44">
        <f t="shared" si="142"/>
        <v>3426.1436618659773</v>
      </c>
      <c r="AB130" s="35">
        <f t="shared" si="143"/>
        <v>5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743.30851712640788</v>
      </c>
      <c r="AD130" s="57">
        <v>0</v>
      </c>
      <c r="AE130" s="57">
        <v>1</v>
      </c>
      <c r="AF130" s="61">
        <f t="shared" si="131"/>
        <v>4</v>
      </c>
      <c r="AG130" s="40">
        <f t="shared" si="144"/>
        <v>0</v>
      </c>
      <c r="AH130" s="40">
        <f t="shared" si="145"/>
        <v>-743.30851712640788</v>
      </c>
      <c r="AI130" s="44">
        <f t="shared" si="146"/>
        <v>2973.2340685056315</v>
      </c>
      <c r="AJ130" s="35">
        <f t="shared" si="132"/>
        <v>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804.8025938160514</v>
      </c>
      <c r="AL130" s="57">
        <v>0</v>
      </c>
      <c r="AM130" s="57">
        <v>0</v>
      </c>
      <c r="AN130" s="61">
        <f t="shared" si="133"/>
        <v>4</v>
      </c>
      <c r="AO130" s="40">
        <f t="shared" si="147"/>
        <v>0</v>
      </c>
      <c r="AP130" s="40">
        <f t="shared" si="148"/>
        <v>0</v>
      </c>
      <c r="AQ130" s="44">
        <f t="shared" si="149"/>
        <v>3219.2103752642056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</v>
      </c>
      <c r="G131" s="35">
        <f>SUMIFS(WORKING!$AC$3:$AC$6802,WORKING!$A$3:$A$6802,Results!$D$3,WORKING!$B$3:$B$6802,Results!A131,WORKING!$C$3:$C$6802,Results!C131)/1000</f>
        <v>2889.4088000000002</v>
      </c>
      <c r="H131" s="35">
        <f t="shared" si="134"/>
        <v>722.35220000000004</v>
      </c>
      <c r="I131" s="187">
        <v>20</v>
      </c>
      <c r="J131" s="212">
        <v>13870</v>
      </c>
      <c r="K131" s="217">
        <f t="shared" si="135"/>
        <v>693.5</v>
      </c>
      <c r="L131" s="34">
        <f t="shared" si="128"/>
        <v>20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757.20462415387055</v>
      </c>
      <c r="N131" s="57">
        <v>0</v>
      </c>
      <c r="O131" s="57">
        <v>1</v>
      </c>
      <c r="P131" s="61">
        <f t="shared" si="129"/>
        <v>19</v>
      </c>
      <c r="Q131" s="40">
        <f t="shared" si="136"/>
        <v>0</v>
      </c>
      <c r="R131" s="40">
        <f t="shared" si="137"/>
        <v>-757.20462415387055</v>
      </c>
      <c r="S131" s="44">
        <f t="shared" si="138"/>
        <v>14386.887858923541</v>
      </c>
      <c r="T131" s="35">
        <f t="shared" si="139"/>
        <v>19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822.15093665664006</v>
      </c>
      <c r="V131" s="57">
        <v>0</v>
      </c>
      <c r="W131" s="57">
        <v>0</v>
      </c>
      <c r="X131" s="61">
        <f t="shared" si="130"/>
        <v>19</v>
      </c>
      <c r="Y131" s="40">
        <f t="shared" si="140"/>
        <v>0</v>
      </c>
      <c r="Z131" s="40">
        <f t="shared" si="141"/>
        <v>0</v>
      </c>
      <c r="AA131" s="44">
        <f t="shared" si="142"/>
        <v>15620.867796476161</v>
      </c>
      <c r="AB131" s="35">
        <f t="shared" si="143"/>
        <v>19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891.83350022255775</v>
      </c>
      <c r="AD131" s="57">
        <v>0</v>
      </c>
      <c r="AE131" s="57">
        <v>0</v>
      </c>
      <c r="AF131" s="61">
        <f t="shared" si="131"/>
        <v>19</v>
      </c>
      <c r="AG131" s="40">
        <f t="shared" si="144"/>
        <v>0</v>
      </c>
      <c r="AH131" s="40">
        <f t="shared" si="145"/>
        <v>0</v>
      </c>
      <c r="AI131" s="44">
        <f t="shared" si="146"/>
        <v>16944.836504228599</v>
      </c>
      <c r="AJ131" s="35">
        <f t="shared" si="132"/>
        <v>19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965.61215068880551</v>
      </c>
      <c r="AL131" s="57">
        <v>0</v>
      </c>
      <c r="AM131" s="57">
        <v>0</v>
      </c>
      <c r="AN131" s="61">
        <f t="shared" si="133"/>
        <v>19</v>
      </c>
      <c r="AO131" s="40">
        <f t="shared" si="147"/>
        <v>0</v>
      </c>
      <c r="AP131" s="40">
        <f t="shared" si="148"/>
        <v>0</v>
      </c>
      <c r="AQ131" s="44">
        <f t="shared" si="149"/>
        <v>18346.630863087306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5</v>
      </c>
      <c r="G132" s="35">
        <f>SUMIFS(WORKING!$AC$3:$AC$6802,WORKING!$A$3:$A$6802,Results!$D$3,WORKING!$B$3:$B$6802,Results!A132,WORKING!$C$3:$C$6802,Results!C132)/1000</f>
        <v>4986.3577400000004</v>
      </c>
      <c r="H132" s="35">
        <f t="shared" si="134"/>
        <v>997.27154800000005</v>
      </c>
      <c r="I132" s="187">
        <v>15</v>
      </c>
      <c r="J132" s="212">
        <v>13173</v>
      </c>
      <c r="K132" s="217">
        <f t="shared" si="135"/>
        <v>878.2</v>
      </c>
      <c r="L132" s="34">
        <f t="shared" si="128"/>
        <v>15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920.36133799570462</v>
      </c>
      <c r="N132" s="57">
        <v>0</v>
      </c>
      <c r="O132" s="57">
        <v>1</v>
      </c>
      <c r="P132" s="61">
        <f t="shared" si="129"/>
        <v>14</v>
      </c>
      <c r="Q132" s="40">
        <f t="shared" si="136"/>
        <v>0</v>
      </c>
      <c r="R132" s="40">
        <f t="shared" si="137"/>
        <v>-920.36133799570462</v>
      </c>
      <c r="S132" s="44">
        <f t="shared" si="138"/>
        <v>12885.058731939866</v>
      </c>
      <c r="T132" s="35">
        <f t="shared" si="139"/>
        <v>14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989.7575984604149</v>
      </c>
      <c r="V132" s="57">
        <v>0</v>
      </c>
      <c r="W132" s="57">
        <v>0</v>
      </c>
      <c r="X132" s="61">
        <f t="shared" si="130"/>
        <v>14</v>
      </c>
      <c r="Y132" s="40">
        <f t="shared" si="140"/>
        <v>0</v>
      </c>
      <c r="Z132" s="40">
        <f t="shared" si="141"/>
        <v>0</v>
      </c>
      <c r="AA132" s="44">
        <f t="shared" si="142"/>
        <v>13856.606378445809</v>
      </c>
      <c r="AB132" s="35">
        <f t="shared" si="143"/>
        <v>14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1063.3822754140233</v>
      </c>
      <c r="AD132" s="57">
        <v>0</v>
      </c>
      <c r="AE132" s="57">
        <v>3</v>
      </c>
      <c r="AF132" s="61">
        <f t="shared" si="131"/>
        <v>11</v>
      </c>
      <c r="AG132" s="40">
        <f t="shared" si="144"/>
        <v>0</v>
      </c>
      <c r="AH132" s="40">
        <f t="shared" si="145"/>
        <v>-3190.1468262420699</v>
      </c>
      <c r="AI132" s="44">
        <f t="shared" si="146"/>
        <v>11697.205029554256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1140.3259748143009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12543.58572295731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2429.8748099999998</v>
      </c>
      <c r="H133" s="35">
        <f t="shared" si="134"/>
        <v>1214.9374049999999</v>
      </c>
      <c r="I133" s="187">
        <v>6</v>
      </c>
      <c r="J133" s="212">
        <v>4252</v>
      </c>
      <c r="K133" s="217">
        <f t="shared" si="135"/>
        <v>708.66666666666663</v>
      </c>
      <c r="L133" s="34">
        <f t="shared" si="128"/>
        <v>6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743.03282435749134</v>
      </c>
      <c r="N133" s="57">
        <v>1</v>
      </c>
      <c r="O133" s="57">
        <v>2</v>
      </c>
      <c r="P133" s="61">
        <f t="shared" si="129"/>
        <v>5</v>
      </c>
      <c r="Q133" s="40">
        <f t="shared" si="136"/>
        <v>743.03282435749134</v>
      </c>
      <c r="R133" s="40">
        <f t="shared" si="137"/>
        <v>-1486.0656487149827</v>
      </c>
      <c r="S133" s="44">
        <f t="shared" si="138"/>
        <v>3715.1641217874567</v>
      </c>
      <c r="T133" s="35">
        <f t="shared" si="139"/>
        <v>5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799.42833542536221</v>
      </c>
      <c r="V133" s="57">
        <v>0</v>
      </c>
      <c r="W133" s="57">
        <v>3</v>
      </c>
      <c r="X133" s="61">
        <f t="shared" si="130"/>
        <v>2</v>
      </c>
      <c r="Y133" s="40">
        <f t="shared" si="140"/>
        <v>0</v>
      </c>
      <c r="Z133" s="40">
        <f t="shared" si="141"/>
        <v>-2398.2850062760867</v>
      </c>
      <c r="AA133" s="44">
        <f t="shared" si="142"/>
        <v>1598.8566708507244</v>
      </c>
      <c r="AB133" s="35">
        <f t="shared" si="143"/>
        <v>2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859.29279507911986</v>
      </c>
      <c r="AD133" s="57">
        <v>0</v>
      </c>
      <c r="AE133" s="57">
        <v>1</v>
      </c>
      <c r="AF133" s="61">
        <f t="shared" si="131"/>
        <v>1</v>
      </c>
      <c r="AG133" s="40">
        <f t="shared" si="144"/>
        <v>0</v>
      </c>
      <c r="AH133" s="40">
        <f t="shared" si="145"/>
        <v>-859.29279507911986</v>
      </c>
      <c r="AI133" s="44">
        <f t="shared" si="146"/>
        <v>859.29279507911986</v>
      </c>
      <c r="AJ133" s="35">
        <f t="shared" si="132"/>
        <v>1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921.89578714588299</v>
      </c>
      <c r="AL133" s="57">
        <v>0</v>
      </c>
      <c r="AM133" s="57">
        <v>0</v>
      </c>
      <c r="AN133" s="61">
        <f t="shared" si="133"/>
        <v>1</v>
      </c>
      <c r="AO133" s="40">
        <f t="shared" si="147"/>
        <v>0</v>
      </c>
      <c r="AP133" s="40">
        <f t="shared" si="148"/>
        <v>0</v>
      </c>
      <c r="AQ133" s="44">
        <f t="shared" si="149"/>
        <v>921.89578714588299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1477.27629</v>
      </c>
      <c r="H134" s="35">
        <f t="shared" si="134"/>
        <v>1477.27629</v>
      </c>
      <c r="I134" s="187">
        <v>1</v>
      </c>
      <c r="J134" s="212">
        <v>1342</v>
      </c>
      <c r="K134" s="217">
        <f t="shared" si="135"/>
        <v>1342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1407.0793052359861</v>
      </c>
      <c r="N134" s="57">
        <v>1</v>
      </c>
      <c r="O134" s="57">
        <v>0</v>
      </c>
      <c r="P134" s="61">
        <f t="shared" si="129"/>
        <v>2</v>
      </c>
      <c r="Q134" s="40">
        <f t="shared" si="136"/>
        <v>1407.0793052359861</v>
      </c>
      <c r="R134" s="40">
        <f t="shared" si="137"/>
        <v>0</v>
      </c>
      <c r="S134" s="44">
        <f t="shared" si="138"/>
        <v>2814.1586104719722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1513.8755649965367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3027.7511299930734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1627.2409978340672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3254.4819956681345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1745.7924189141729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3491.5848378283458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>
        <v>0</v>
      </c>
      <c r="J139" s="213">
        <v>0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23</v>
      </c>
      <c r="G140" s="41">
        <f>SUM(G120:G139)</f>
        <v>16534.136829999999</v>
      </c>
      <c r="H140" s="41">
        <f>IFERROR(G140/F140,0)</f>
        <v>718.87551434782608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83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46419</v>
      </c>
      <c r="K140" s="41">
        <f>IFERROR(J140/I140,"")</f>
        <v>559.26506024096386</v>
      </c>
      <c r="L140" s="41">
        <f>SUM(L120:L139)</f>
        <v>83</v>
      </c>
      <c r="M140" s="41">
        <f>IFERROR(S140/P140,0)</f>
        <v>612.95656837818944</v>
      </c>
      <c r="N140" s="41">
        <f t="shared" ref="N140:T140" si="151">SUM(N120:N139)</f>
        <v>3</v>
      </c>
      <c r="O140" s="41">
        <f t="shared" si="151"/>
        <v>7</v>
      </c>
      <c r="P140" s="41">
        <f t="shared" si="151"/>
        <v>79</v>
      </c>
      <c r="Q140" s="41">
        <f t="shared" si="151"/>
        <v>2725.577079232412</v>
      </c>
      <c r="R140" s="41">
        <f t="shared" si="151"/>
        <v>-4106.3316610268721</v>
      </c>
      <c r="S140" s="45">
        <f t="shared" si="151"/>
        <v>48423.568901876963</v>
      </c>
      <c r="T140" s="41">
        <f t="shared" si="151"/>
        <v>79</v>
      </c>
      <c r="U140" s="41">
        <f>IFERROR(AA140/X140,0)</f>
        <v>657.15286653011731</v>
      </c>
      <c r="V140" s="41">
        <f t="shared" ref="V140:AB140" si="152">SUM(V120:V139)</f>
        <v>0</v>
      </c>
      <c r="W140" s="41">
        <f t="shared" si="152"/>
        <v>3</v>
      </c>
      <c r="X140" s="41">
        <f t="shared" si="152"/>
        <v>76</v>
      </c>
      <c r="Y140" s="41">
        <f t="shared" si="152"/>
        <v>0</v>
      </c>
      <c r="Z140" s="41">
        <f t="shared" si="152"/>
        <v>-2398.2850062760867</v>
      </c>
      <c r="AA140" s="45">
        <f t="shared" si="152"/>
        <v>49943.617856288918</v>
      </c>
      <c r="AB140" s="41">
        <f t="shared" si="152"/>
        <v>76</v>
      </c>
      <c r="AC140" s="41">
        <f>IFERROR(AI140/AF140,0)</f>
        <v>752.7096109761751</v>
      </c>
      <c r="AD140" s="41">
        <f t="shared" ref="AD140:AJ140" si="153">SUM(AD120:AD139)</f>
        <v>0</v>
      </c>
      <c r="AE140" s="41">
        <f t="shared" si="153"/>
        <v>16</v>
      </c>
      <c r="AF140" s="41">
        <f t="shared" si="153"/>
        <v>60</v>
      </c>
      <c r="AG140" s="41">
        <f t="shared" si="153"/>
        <v>0</v>
      </c>
      <c r="AH140" s="41">
        <f t="shared" si="153"/>
        <v>-8785.1679635898745</v>
      </c>
      <c r="AI140" s="45">
        <f t="shared" si="153"/>
        <v>45162.576658570506</v>
      </c>
      <c r="AJ140" s="41">
        <f t="shared" si="153"/>
        <v>60</v>
      </c>
      <c r="AK140" s="41">
        <f>IFERROR(AQ140/AN140,0)</f>
        <v>811.95437520049506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60</v>
      </c>
      <c r="AO140" s="41">
        <f t="shared" si="154"/>
        <v>0</v>
      </c>
      <c r="AP140" s="41">
        <f t="shared" si="154"/>
        <v>0</v>
      </c>
      <c r="AQ140" s="45">
        <f t="shared" si="154"/>
        <v>48717.262512029702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58116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54095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54294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58420.344000000005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9692.4310981230374</v>
      </c>
      <c r="T142" s="39"/>
      <c r="U142" s="39"/>
      <c r="V142" s="53"/>
      <c r="W142" s="53"/>
      <c r="X142" s="110"/>
      <c r="Y142" s="39"/>
      <c r="Z142" s="39"/>
      <c r="AA142" s="54">
        <f>AA141-AA140</f>
        <v>4151.3821437110819</v>
      </c>
      <c r="AB142" s="39"/>
      <c r="AC142" s="53"/>
      <c r="AD142" s="53"/>
      <c r="AE142" s="110"/>
      <c r="AF142" s="39"/>
      <c r="AG142" s="39"/>
      <c r="AH142" s="39"/>
      <c r="AI142" s="54">
        <f>AI141-AI140</f>
        <v>9131.423341429494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9703.081487970303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Government Chief Information Officer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146.76558000000003</v>
      </c>
      <c r="H148" s="35">
        <f>IFERROR(G148/F148,0)</f>
        <v>0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3</v>
      </c>
      <c r="J149" s="212">
        <v>24</v>
      </c>
      <c r="K149" s="217">
        <f t="shared" ref="K149:K167" si="162">IFERROR(IF(J149="",G149,J149)/IF(I149="",F149,I149),"")</f>
        <v>8</v>
      </c>
      <c r="L149" s="34">
        <f t="shared" si="155"/>
        <v>3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8.590621476166433</v>
      </c>
      <c r="N149" s="57">
        <v>0</v>
      </c>
      <c r="O149" s="57">
        <v>0</v>
      </c>
      <c r="P149" s="61">
        <f t="shared" si="156"/>
        <v>3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25.771864428499299</v>
      </c>
      <c r="T149" s="35">
        <f t="shared" ref="T149:T167" si="166">P149</f>
        <v>3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9.1922494940007304</v>
      </c>
      <c r="V149" s="57">
        <v>0</v>
      </c>
      <c r="W149" s="57">
        <v>0</v>
      </c>
      <c r="X149" s="61">
        <f t="shared" si="157"/>
        <v>3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27.576748482002191</v>
      </c>
      <c r="AB149" s="35">
        <f t="shared" ref="AB149:AB167" si="170">X149</f>
        <v>3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9.8268191490275072</v>
      </c>
      <c r="AD149" s="57">
        <v>0</v>
      </c>
      <c r="AE149" s="57">
        <v>0</v>
      </c>
      <c r="AF149" s="61">
        <f t="shared" si="158"/>
        <v>3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29.480457447082522</v>
      </c>
      <c r="AJ149" s="35">
        <f t="shared" si="159"/>
        <v>3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10.485541488391794</v>
      </c>
      <c r="AL149" s="57">
        <v>0</v>
      </c>
      <c r="AM149" s="57">
        <v>0</v>
      </c>
      <c r="AN149" s="61">
        <f t="shared" si="160"/>
        <v>3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31.456624465175381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>
        <v>0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6</v>
      </c>
      <c r="G152" s="35">
        <f>SUMIFS(WORKING!$AC$3:$AC$6802,WORKING!$A$3:$A$6802,Results!$D$3,WORKING!$B$3:$B$6802,Results!A152,WORKING!$C$3:$C$6802,Results!C152)/1000</f>
        <v>997.47711000000015</v>
      </c>
      <c r="H152" s="35">
        <f t="shared" si="161"/>
        <v>166.24618500000003</v>
      </c>
      <c r="I152" s="187">
        <v>1</v>
      </c>
      <c r="J152" s="212">
        <v>208</v>
      </c>
      <c r="K152" s="217">
        <f t="shared" si="162"/>
        <v>208</v>
      </c>
      <c r="L152" s="34">
        <f t="shared" si="155"/>
        <v>1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226.70654097980886</v>
      </c>
      <c r="N152" s="57">
        <v>0</v>
      </c>
      <c r="O152" s="57">
        <v>0</v>
      </c>
      <c r="P152" s="61">
        <f t="shared" si="156"/>
        <v>1</v>
      </c>
      <c r="Q152" s="40">
        <f t="shared" si="163"/>
        <v>0</v>
      </c>
      <c r="R152" s="40">
        <f t="shared" si="164"/>
        <v>0</v>
      </c>
      <c r="S152" s="44">
        <f t="shared" si="165"/>
        <v>226.70654097980886</v>
      </c>
      <c r="T152" s="35">
        <f t="shared" si="166"/>
        <v>1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246.07287107051906</v>
      </c>
      <c r="V152" s="57">
        <v>0</v>
      </c>
      <c r="W152" s="57">
        <v>0</v>
      </c>
      <c r="X152" s="61">
        <f t="shared" si="157"/>
        <v>1</v>
      </c>
      <c r="Y152" s="40">
        <f t="shared" si="167"/>
        <v>0</v>
      </c>
      <c r="Z152" s="40">
        <f t="shared" si="168"/>
        <v>0</v>
      </c>
      <c r="AA152" s="44">
        <f t="shared" si="169"/>
        <v>246.07287107051906</v>
      </c>
      <c r="AB152" s="35">
        <f t="shared" si="170"/>
        <v>1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266.84390873809298</v>
      </c>
      <c r="AD152" s="57">
        <v>0</v>
      </c>
      <c r="AE152" s="57">
        <v>0</v>
      </c>
      <c r="AF152" s="61">
        <f t="shared" si="158"/>
        <v>1</v>
      </c>
      <c r="AG152" s="40">
        <f t="shared" si="171"/>
        <v>0</v>
      </c>
      <c r="AH152" s="40">
        <f t="shared" si="172"/>
        <v>0</v>
      </c>
      <c r="AI152" s="44">
        <f t="shared" si="173"/>
        <v>266.84390873809298</v>
      </c>
      <c r="AJ152" s="35">
        <f t="shared" si="159"/>
        <v>1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288.82677585956162</v>
      </c>
      <c r="AL152" s="57">
        <v>0</v>
      </c>
      <c r="AM152" s="57">
        <v>0</v>
      </c>
      <c r="AN152" s="61">
        <f t="shared" si="160"/>
        <v>1</v>
      </c>
      <c r="AO152" s="40">
        <f t="shared" si="174"/>
        <v>0</v>
      </c>
      <c r="AP152" s="40">
        <f t="shared" si="175"/>
        <v>0</v>
      </c>
      <c r="AQ152" s="44">
        <f t="shared" si="176"/>
        <v>288.82677585956162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</v>
      </c>
      <c r="G153" s="35">
        <f>SUMIFS(WORKING!$AC$3:$AC$6802,WORKING!$A$3:$A$6802,Results!$D$3,WORKING!$B$3:$B$6802,Results!A153,WORKING!$C$3:$C$6802,Results!C153)/1000</f>
        <v>155.71524000000002</v>
      </c>
      <c r="H153" s="35">
        <f t="shared" si="161"/>
        <v>155.71524000000002</v>
      </c>
      <c r="I153" s="187">
        <v>3</v>
      </c>
      <c r="J153" s="212">
        <v>722</v>
      </c>
      <c r="K153" s="217">
        <f t="shared" si="162"/>
        <v>240.66666666666666</v>
      </c>
      <c r="L153" s="34">
        <f t="shared" si="155"/>
        <v>3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261.39077204137419</v>
      </c>
      <c r="N153" s="57">
        <v>0</v>
      </c>
      <c r="O153" s="57">
        <v>0</v>
      </c>
      <c r="P153" s="61">
        <f t="shared" si="156"/>
        <v>3</v>
      </c>
      <c r="Q153" s="40">
        <f t="shared" si="163"/>
        <v>0</v>
      </c>
      <c r="R153" s="40">
        <f t="shared" si="164"/>
        <v>0</v>
      </c>
      <c r="S153" s="44">
        <f t="shared" si="165"/>
        <v>784.17231612412252</v>
      </c>
      <c r="T153" s="35">
        <f t="shared" si="166"/>
        <v>3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283.43548377682981</v>
      </c>
      <c r="V153" s="57">
        <v>0</v>
      </c>
      <c r="W153" s="57">
        <v>0</v>
      </c>
      <c r="X153" s="61">
        <f t="shared" si="157"/>
        <v>3</v>
      </c>
      <c r="Y153" s="40">
        <f t="shared" si="167"/>
        <v>0</v>
      </c>
      <c r="Z153" s="40">
        <f t="shared" si="168"/>
        <v>0</v>
      </c>
      <c r="AA153" s="44">
        <f t="shared" si="169"/>
        <v>850.30645133048938</v>
      </c>
      <c r="AB153" s="35">
        <f t="shared" si="170"/>
        <v>3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307.05216938988923</v>
      </c>
      <c r="AD153" s="57">
        <v>0</v>
      </c>
      <c r="AE153" s="57">
        <v>0</v>
      </c>
      <c r="AF153" s="61">
        <f t="shared" si="158"/>
        <v>3</v>
      </c>
      <c r="AG153" s="40">
        <f t="shared" si="171"/>
        <v>0</v>
      </c>
      <c r="AH153" s="40">
        <f t="shared" si="172"/>
        <v>0</v>
      </c>
      <c r="AI153" s="44">
        <f t="shared" si="173"/>
        <v>921.15650816966763</v>
      </c>
      <c r="AJ153" s="35">
        <f t="shared" si="159"/>
        <v>3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332.01441971324272</v>
      </c>
      <c r="AL153" s="57">
        <v>0</v>
      </c>
      <c r="AM153" s="57">
        <v>0</v>
      </c>
      <c r="AN153" s="61">
        <f t="shared" si="160"/>
        <v>3</v>
      </c>
      <c r="AO153" s="40">
        <f t="shared" si="174"/>
        <v>0</v>
      </c>
      <c r="AP153" s="40">
        <f t="shared" si="175"/>
        <v>0</v>
      </c>
      <c r="AQ153" s="44">
        <f t="shared" si="176"/>
        <v>996.04325913972821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6</v>
      </c>
      <c r="G154" s="35">
        <f>SUMIFS(WORKING!$AC$3:$AC$6802,WORKING!$A$3:$A$6802,Results!$D$3,WORKING!$B$3:$B$6802,Results!A154,WORKING!$C$3:$C$6802,Results!C154)/1000</f>
        <v>1848.27746</v>
      </c>
      <c r="H154" s="35">
        <f t="shared" si="161"/>
        <v>308.04624333333334</v>
      </c>
      <c r="I154" s="187">
        <v>2</v>
      </c>
      <c r="J154" s="212">
        <v>651</v>
      </c>
      <c r="K154" s="217">
        <f t="shared" si="162"/>
        <v>325.5</v>
      </c>
      <c r="L154" s="34">
        <f t="shared" si="155"/>
        <v>2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355.08120735862963</v>
      </c>
      <c r="N154" s="57">
        <v>0</v>
      </c>
      <c r="O154" s="57">
        <v>0</v>
      </c>
      <c r="P154" s="61">
        <f t="shared" si="156"/>
        <v>2</v>
      </c>
      <c r="Q154" s="40">
        <f t="shared" si="163"/>
        <v>0</v>
      </c>
      <c r="R154" s="40">
        <f t="shared" si="164"/>
        <v>0</v>
      </c>
      <c r="S154" s="44">
        <f t="shared" si="165"/>
        <v>710.16241471725925</v>
      </c>
      <c r="T154" s="35">
        <f t="shared" si="166"/>
        <v>2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385.50761619291848</v>
      </c>
      <c r="V154" s="57">
        <v>0</v>
      </c>
      <c r="W154" s="57">
        <v>0</v>
      </c>
      <c r="X154" s="61">
        <f t="shared" si="157"/>
        <v>2</v>
      </c>
      <c r="Y154" s="40">
        <f t="shared" si="167"/>
        <v>0</v>
      </c>
      <c r="Z154" s="40">
        <f t="shared" si="168"/>
        <v>0</v>
      </c>
      <c r="AA154" s="44">
        <f t="shared" si="169"/>
        <v>771.01523238583695</v>
      </c>
      <c r="AB154" s="35">
        <f t="shared" si="170"/>
        <v>2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418.1501011727961</v>
      </c>
      <c r="AD154" s="57">
        <v>0</v>
      </c>
      <c r="AE154" s="57">
        <v>0</v>
      </c>
      <c r="AF154" s="61">
        <f t="shared" si="158"/>
        <v>2</v>
      </c>
      <c r="AG154" s="40">
        <f t="shared" si="171"/>
        <v>0</v>
      </c>
      <c r="AH154" s="40">
        <f t="shared" si="172"/>
        <v>0</v>
      </c>
      <c r="AI154" s="44">
        <f t="shared" si="173"/>
        <v>836.3002023455922</v>
      </c>
      <c r="AJ154" s="35">
        <f t="shared" si="159"/>
        <v>2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452.70808162156248</v>
      </c>
      <c r="AL154" s="57">
        <v>0</v>
      </c>
      <c r="AM154" s="57">
        <v>0</v>
      </c>
      <c r="AN154" s="61">
        <f t="shared" si="160"/>
        <v>2</v>
      </c>
      <c r="AO154" s="40">
        <f t="shared" si="174"/>
        <v>0</v>
      </c>
      <c r="AP154" s="40">
        <f t="shared" si="175"/>
        <v>0</v>
      </c>
      <c r="AQ154" s="44">
        <f t="shared" si="176"/>
        <v>905.41616324312497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>
        <v>0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6</v>
      </c>
      <c r="G156" s="35">
        <f>SUMIFS(WORKING!$AC$3:$AC$6802,WORKING!$A$3:$A$6802,Results!$D$3,WORKING!$B$3:$B$6802,Results!A156,WORKING!$C$3:$C$6802,Results!C156)/1000</f>
        <v>2662.2417199999995</v>
      </c>
      <c r="H156" s="35">
        <f t="shared" si="161"/>
        <v>443.70695333333327</v>
      </c>
      <c r="I156" s="187">
        <v>1</v>
      </c>
      <c r="J156" s="212">
        <v>838</v>
      </c>
      <c r="K156" s="217">
        <f t="shared" si="162"/>
        <v>838</v>
      </c>
      <c r="L156" s="34">
        <f t="shared" si="155"/>
        <v>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913.67067572198721</v>
      </c>
      <c r="N156" s="57">
        <v>0</v>
      </c>
      <c r="O156" s="57">
        <v>0</v>
      </c>
      <c r="P156" s="61">
        <f t="shared" si="156"/>
        <v>1</v>
      </c>
      <c r="Q156" s="40">
        <f t="shared" si="163"/>
        <v>0</v>
      </c>
      <c r="R156" s="40">
        <f t="shared" si="164"/>
        <v>0</v>
      </c>
      <c r="S156" s="44">
        <f t="shared" si="165"/>
        <v>913.67067572198721</v>
      </c>
      <c r="T156" s="35">
        <f t="shared" si="166"/>
        <v>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991.81213750647964</v>
      </c>
      <c r="V156" s="57">
        <v>0</v>
      </c>
      <c r="W156" s="57">
        <v>0</v>
      </c>
      <c r="X156" s="61">
        <f t="shared" si="157"/>
        <v>1</v>
      </c>
      <c r="Y156" s="40">
        <f t="shared" si="167"/>
        <v>0</v>
      </c>
      <c r="Z156" s="40">
        <f t="shared" si="168"/>
        <v>0</v>
      </c>
      <c r="AA156" s="44">
        <f t="shared" si="169"/>
        <v>991.81213750647964</v>
      </c>
      <c r="AB156" s="35">
        <f t="shared" si="170"/>
        <v>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1075.6305489558815</v>
      </c>
      <c r="AD156" s="57">
        <v>0</v>
      </c>
      <c r="AE156" s="57">
        <v>0</v>
      </c>
      <c r="AF156" s="61">
        <f t="shared" si="158"/>
        <v>1</v>
      </c>
      <c r="AG156" s="40">
        <f t="shared" si="171"/>
        <v>0</v>
      </c>
      <c r="AH156" s="40">
        <f t="shared" si="172"/>
        <v>0</v>
      </c>
      <c r="AI156" s="44">
        <f t="shared" si="173"/>
        <v>1075.6305489558815</v>
      </c>
      <c r="AJ156" s="35">
        <f t="shared" si="159"/>
        <v>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1164.3502774717672</v>
      </c>
      <c r="AL156" s="57">
        <v>0</v>
      </c>
      <c r="AM156" s="57">
        <v>0</v>
      </c>
      <c r="AN156" s="61">
        <f t="shared" si="160"/>
        <v>1</v>
      </c>
      <c r="AO156" s="40">
        <f t="shared" si="174"/>
        <v>0</v>
      </c>
      <c r="AP156" s="40">
        <f t="shared" si="175"/>
        <v>0</v>
      </c>
      <c r="AQ156" s="44">
        <f t="shared" si="176"/>
        <v>1164.3502774717672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</v>
      </c>
      <c r="G158" s="35">
        <f>SUMIFS(WORKING!$AC$3:$AC$6802,WORKING!$A$3:$A$6802,Results!$D$3,WORKING!$B$3:$B$6802,Results!A158,WORKING!$C$3:$C$6802,Results!C158)/1000</f>
        <v>1502.7018799999998</v>
      </c>
      <c r="H158" s="35">
        <f t="shared" si="161"/>
        <v>751.35093999999992</v>
      </c>
      <c r="I158" s="187">
        <v>1</v>
      </c>
      <c r="J158" s="212">
        <v>627</v>
      </c>
      <c r="K158" s="217">
        <f t="shared" si="162"/>
        <v>627</v>
      </c>
      <c r="L158" s="34">
        <f t="shared" si="155"/>
        <v>1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684.47206484341643</v>
      </c>
      <c r="N158" s="57">
        <v>1</v>
      </c>
      <c r="O158" s="57">
        <v>0</v>
      </c>
      <c r="P158" s="61">
        <f t="shared" si="156"/>
        <v>2</v>
      </c>
      <c r="Q158" s="40">
        <f t="shared" si="163"/>
        <v>684.47206484341643</v>
      </c>
      <c r="R158" s="40">
        <f t="shared" si="164"/>
        <v>0</v>
      </c>
      <c r="S158" s="44">
        <f t="shared" si="165"/>
        <v>1368.9441296868329</v>
      </c>
      <c r="T158" s="35">
        <f t="shared" si="166"/>
        <v>2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743.0455228467132</v>
      </c>
      <c r="V158" s="57">
        <v>0</v>
      </c>
      <c r="W158" s="57">
        <v>0</v>
      </c>
      <c r="X158" s="61">
        <f t="shared" si="157"/>
        <v>2</v>
      </c>
      <c r="Y158" s="40">
        <f t="shared" si="167"/>
        <v>0</v>
      </c>
      <c r="Z158" s="40">
        <f t="shared" si="168"/>
        <v>0</v>
      </c>
      <c r="AA158" s="44">
        <f t="shared" si="169"/>
        <v>1486.0910456934264</v>
      </c>
      <c r="AB158" s="35">
        <f t="shared" si="170"/>
        <v>2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805.87752296434064</v>
      </c>
      <c r="AD158" s="57">
        <v>0</v>
      </c>
      <c r="AE158" s="57">
        <v>0</v>
      </c>
      <c r="AF158" s="61">
        <f t="shared" si="158"/>
        <v>2</v>
      </c>
      <c r="AG158" s="40">
        <f t="shared" si="171"/>
        <v>0</v>
      </c>
      <c r="AH158" s="40">
        <f t="shared" si="172"/>
        <v>0</v>
      </c>
      <c r="AI158" s="44">
        <f t="shared" si="173"/>
        <v>1611.7550459286813</v>
      </c>
      <c r="AJ158" s="35">
        <f t="shared" si="159"/>
        <v>2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872.38738764376001</v>
      </c>
      <c r="AL158" s="57">
        <v>0</v>
      </c>
      <c r="AM158" s="57">
        <v>0</v>
      </c>
      <c r="AN158" s="61">
        <f t="shared" si="160"/>
        <v>2</v>
      </c>
      <c r="AO158" s="40">
        <f t="shared" si="174"/>
        <v>0</v>
      </c>
      <c r="AP158" s="40">
        <f t="shared" si="175"/>
        <v>0</v>
      </c>
      <c r="AQ158" s="44">
        <f t="shared" si="176"/>
        <v>1744.77477528752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</v>
      </c>
      <c r="G159" s="35">
        <f>SUMIFS(WORKING!$AC$3:$AC$6802,WORKING!$A$3:$A$6802,Results!$D$3,WORKING!$B$3:$B$6802,Results!A159,WORKING!$C$3:$C$6802,Results!C159)/1000</f>
        <v>838.4838400000001</v>
      </c>
      <c r="H159" s="35">
        <f t="shared" si="161"/>
        <v>838.4838400000001</v>
      </c>
      <c r="I159" s="187">
        <v>1</v>
      </c>
      <c r="J159" s="212">
        <v>811</v>
      </c>
      <c r="K159" s="217">
        <f t="shared" si="162"/>
        <v>811</v>
      </c>
      <c r="L159" s="34">
        <f t="shared" si="155"/>
        <v>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885.72444785704545</v>
      </c>
      <c r="N159" s="57">
        <v>0</v>
      </c>
      <c r="O159" s="57">
        <v>0</v>
      </c>
      <c r="P159" s="61">
        <f t="shared" si="156"/>
        <v>1</v>
      </c>
      <c r="Q159" s="40">
        <f t="shared" si="163"/>
        <v>0</v>
      </c>
      <c r="R159" s="40">
        <f t="shared" si="164"/>
        <v>0</v>
      </c>
      <c r="S159" s="44">
        <f t="shared" si="165"/>
        <v>885.72444785704545</v>
      </c>
      <c r="T159" s="35">
        <f t="shared" si="166"/>
        <v>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961.93985047475098</v>
      </c>
      <c r="V159" s="57">
        <v>0</v>
      </c>
      <c r="W159" s="57">
        <v>0</v>
      </c>
      <c r="X159" s="61">
        <f t="shared" si="157"/>
        <v>1</v>
      </c>
      <c r="Y159" s="40">
        <f t="shared" si="167"/>
        <v>0</v>
      </c>
      <c r="Z159" s="40">
        <f t="shared" si="168"/>
        <v>0</v>
      </c>
      <c r="AA159" s="44">
        <f t="shared" si="169"/>
        <v>961.93985047475098</v>
      </c>
      <c r="AB159" s="35">
        <f t="shared" si="170"/>
        <v>1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1043.7371186793173</v>
      </c>
      <c r="AD159" s="57">
        <v>0</v>
      </c>
      <c r="AE159" s="57">
        <v>0</v>
      </c>
      <c r="AF159" s="61">
        <f t="shared" si="158"/>
        <v>1</v>
      </c>
      <c r="AG159" s="40">
        <f t="shared" si="171"/>
        <v>0</v>
      </c>
      <c r="AH159" s="40">
        <f t="shared" si="172"/>
        <v>0</v>
      </c>
      <c r="AI159" s="44">
        <f t="shared" si="173"/>
        <v>1043.7371186793173</v>
      </c>
      <c r="AJ159" s="35">
        <f t="shared" si="159"/>
        <v>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1130.3711244106378</v>
      </c>
      <c r="AL159" s="57">
        <v>0</v>
      </c>
      <c r="AM159" s="57">
        <v>0</v>
      </c>
      <c r="AN159" s="61">
        <f t="shared" si="160"/>
        <v>1</v>
      </c>
      <c r="AO159" s="40">
        <f t="shared" si="174"/>
        <v>0</v>
      </c>
      <c r="AP159" s="40">
        <f t="shared" si="175"/>
        <v>0</v>
      </c>
      <c r="AQ159" s="44">
        <f t="shared" si="176"/>
        <v>1130.3711244106378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4</v>
      </c>
      <c r="G160" s="35">
        <f>SUMIFS(WORKING!$AC$3:$AC$6802,WORKING!$A$3:$A$6802,Results!$D$3,WORKING!$B$3:$B$6802,Results!A160,WORKING!$C$3:$C$6802,Results!C160)/1000</f>
        <v>3767.9579299999996</v>
      </c>
      <c r="H160" s="35">
        <f t="shared" si="161"/>
        <v>941.98948249999989</v>
      </c>
      <c r="I160" s="187">
        <v>7</v>
      </c>
      <c r="J160" s="212">
        <v>5259</v>
      </c>
      <c r="K160" s="217">
        <f t="shared" si="162"/>
        <v>751.28571428571433</v>
      </c>
      <c r="L160" s="34">
        <f t="shared" si="155"/>
        <v>7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787.16760180876611</v>
      </c>
      <c r="N160" s="57">
        <v>1</v>
      </c>
      <c r="O160" s="57">
        <v>1</v>
      </c>
      <c r="P160" s="61">
        <f t="shared" si="156"/>
        <v>7</v>
      </c>
      <c r="Q160" s="40">
        <f t="shared" si="163"/>
        <v>787.16760180876611</v>
      </c>
      <c r="R160" s="40">
        <f t="shared" si="164"/>
        <v>-787.16760180876611</v>
      </c>
      <c r="S160" s="44">
        <f t="shared" si="165"/>
        <v>5510.1732126613624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846.320450308712</v>
      </c>
      <c r="V160" s="57">
        <v>0</v>
      </c>
      <c r="W160" s="57">
        <v>1</v>
      </c>
      <c r="X160" s="61">
        <f t="shared" si="157"/>
        <v>6</v>
      </c>
      <c r="Y160" s="40">
        <f t="shared" si="167"/>
        <v>0</v>
      </c>
      <c r="Z160" s="40">
        <f t="shared" si="168"/>
        <v>-846.320450308712</v>
      </c>
      <c r="AA160" s="44">
        <f t="shared" si="169"/>
        <v>5077.9227018522724</v>
      </c>
      <c r="AB160" s="35">
        <f t="shared" si="170"/>
        <v>6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909.06001159696586</v>
      </c>
      <c r="AD160" s="57">
        <v>0</v>
      </c>
      <c r="AE160" s="57">
        <v>0</v>
      </c>
      <c r="AF160" s="61">
        <f t="shared" si="158"/>
        <v>6</v>
      </c>
      <c r="AG160" s="40">
        <f t="shared" si="171"/>
        <v>0</v>
      </c>
      <c r="AH160" s="40">
        <f t="shared" si="172"/>
        <v>0</v>
      </c>
      <c r="AI160" s="44">
        <f t="shared" si="173"/>
        <v>5454.360069581795</v>
      </c>
      <c r="AJ160" s="35">
        <f t="shared" si="159"/>
        <v>6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974.60649262778816</v>
      </c>
      <c r="AL160" s="57">
        <v>0</v>
      </c>
      <c r="AM160" s="57">
        <v>0</v>
      </c>
      <c r="AN160" s="61">
        <f t="shared" si="160"/>
        <v>6</v>
      </c>
      <c r="AO160" s="40">
        <f t="shared" si="174"/>
        <v>0</v>
      </c>
      <c r="AP160" s="40">
        <f t="shared" si="175"/>
        <v>0</v>
      </c>
      <c r="AQ160" s="44">
        <f t="shared" si="176"/>
        <v>5847.6389557667289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2</v>
      </c>
      <c r="G161" s="35">
        <f>SUMIFS(WORKING!$AC$3:$AC$6802,WORKING!$A$3:$A$6802,Results!$D$3,WORKING!$B$3:$B$6802,Results!A161,WORKING!$C$3:$C$6802,Results!C161)/1000</f>
        <v>2344.62129</v>
      </c>
      <c r="H161" s="35">
        <f t="shared" si="161"/>
        <v>1172.310645</v>
      </c>
      <c r="I161" s="187">
        <v>3</v>
      </c>
      <c r="J161" s="212">
        <v>3200</v>
      </c>
      <c r="K161" s="217">
        <f t="shared" si="162"/>
        <v>1066.6666666666667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1118.0553126732718</v>
      </c>
      <c r="N161" s="57">
        <v>0</v>
      </c>
      <c r="O161" s="57">
        <v>0</v>
      </c>
      <c r="P161" s="61">
        <f t="shared" si="156"/>
        <v>3</v>
      </c>
      <c r="Q161" s="40">
        <f t="shared" si="163"/>
        <v>0</v>
      </c>
      <c r="R161" s="40">
        <f t="shared" si="164"/>
        <v>0</v>
      </c>
      <c r="S161" s="44">
        <f t="shared" si="165"/>
        <v>3354.1659380198153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1202.5507107291355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3607.6521321874066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1292.211506533358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3876.6345196000739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1385.9349145896517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4157.8047437689547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1</v>
      </c>
      <c r="J162" s="212">
        <v>1590</v>
      </c>
      <c r="K162" s="217">
        <f t="shared" si="162"/>
        <v>1590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1642.4699999999998</v>
      </c>
      <c r="N162" s="57">
        <v>1</v>
      </c>
      <c r="O162" s="57">
        <v>0</v>
      </c>
      <c r="P162" s="61">
        <f t="shared" si="156"/>
        <v>2</v>
      </c>
      <c r="Q162" s="40">
        <f t="shared" si="163"/>
        <v>1642.4699999999998</v>
      </c>
      <c r="R162" s="40">
        <f t="shared" si="164"/>
        <v>0</v>
      </c>
      <c r="S162" s="44">
        <f t="shared" si="165"/>
        <v>3284.9399999999996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1741.0182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3482.0364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1843.7382737999999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3687.4765475999998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1948.8313554065999</v>
      </c>
      <c r="AL162" s="57">
        <v>0</v>
      </c>
      <c r="AM162" s="57">
        <v>0</v>
      </c>
      <c r="AN162" s="61">
        <f t="shared" si="160"/>
        <v>2</v>
      </c>
      <c r="AO162" s="40">
        <f t="shared" si="174"/>
        <v>0</v>
      </c>
      <c r="AP162" s="40">
        <f t="shared" si="175"/>
        <v>0</v>
      </c>
      <c r="AQ162" s="44">
        <f t="shared" si="176"/>
        <v>3897.6627108131997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28</v>
      </c>
      <c r="G168" s="41">
        <f>SUM(G148:G167)</f>
        <v>14264.242049999997</v>
      </c>
      <c r="H168" s="41">
        <f>IFERROR(G168/F168,0)</f>
        <v>509.43721607142845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23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13930</v>
      </c>
      <c r="K168" s="41">
        <f>IFERROR(J168/I168,"")</f>
        <v>605.6521739130435</v>
      </c>
      <c r="L168" s="41">
        <f>SUM(L148:L167)</f>
        <v>23</v>
      </c>
      <c r="M168" s="41">
        <f>IFERROR(S168/P168,0)</f>
        <v>682.57726160786933</v>
      </c>
      <c r="N168" s="41">
        <f t="shared" ref="N168:T168" si="177">SUM(N148:N167)</f>
        <v>3</v>
      </c>
      <c r="O168" s="41">
        <f t="shared" si="177"/>
        <v>1</v>
      </c>
      <c r="P168" s="41">
        <f t="shared" si="177"/>
        <v>25</v>
      </c>
      <c r="Q168" s="41">
        <f t="shared" si="177"/>
        <v>3114.1096666521826</v>
      </c>
      <c r="R168" s="41">
        <f t="shared" si="177"/>
        <v>-787.16760180876611</v>
      </c>
      <c r="S168" s="45">
        <f t="shared" si="177"/>
        <v>17064.431540196732</v>
      </c>
      <c r="T168" s="41">
        <f t="shared" si="177"/>
        <v>25</v>
      </c>
      <c r="U168" s="41">
        <f>IFERROR(AA168/X168,0)</f>
        <v>729.26773212429919</v>
      </c>
      <c r="V168" s="41">
        <f t="shared" ref="V168:AB168" si="178">SUM(V148:V167)</f>
        <v>0</v>
      </c>
      <c r="W168" s="41">
        <f t="shared" si="178"/>
        <v>1</v>
      </c>
      <c r="X168" s="41">
        <f t="shared" si="178"/>
        <v>24</v>
      </c>
      <c r="Y168" s="41">
        <f t="shared" si="178"/>
        <v>0</v>
      </c>
      <c r="Z168" s="41">
        <f t="shared" si="178"/>
        <v>-846.320450308712</v>
      </c>
      <c r="AA168" s="45">
        <f t="shared" si="178"/>
        <v>17502.425570983181</v>
      </c>
      <c r="AB168" s="41">
        <f t="shared" si="178"/>
        <v>24</v>
      </c>
      <c r="AC168" s="41">
        <f>IFERROR(AI168/AF168,0)</f>
        <v>783.47395529359085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24</v>
      </c>
      <c r="AG168" s="41">
        <f t="shared" si="179"/>
        <v>0</v>
      </c>
      <c r="AH168" s="41">
        <f t="shared" si="179"/>
        <v>0</v>
      </c>
      <c r="AI168" s="45">
        <f t="shared" si="179"/>
        <v>18803.374927046181</v>
      </c>
      <c r="AJ168" s="41">
        <f t="shared" si="179"/>
        <v>24</v>
      </c>
      <c r="AK168" s="41">
        <f>IFERROR(AQ168/AN168,0)</f>
        <v>840.18105875943331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24</v>
      </c>
      <c r="AO168" s="41">
        <f t="shared" si="180"/>
        <v>0</v>
      </c>
      <c r="AP168" s="41">
        <f t="shared" si="180"/>
        <v>0</v>
      </c>
      <c r="AQ168" s="45">
        <f t="shared" si="180"/>
        <v>20164.3454102264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14814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15905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16919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18204.844000000001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-2250.4315401967324</v>
      </c>
      <c r="T170" s="39"/>
      <c r="U170" s="39"/>
      <c r="V170" s="53"/>
      <c r="W170" s="53"/>
      <c r="X170" s="110"/>
      <c r="Y170" s="39"/>
      <c r="Z170" s="39"/>
      <c r="AA170" s="54">
        <f>AA169-AA168</f>
        <v>-1597.4255709831814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-1884.3749270461813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-1959.5014102263995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Service Delivery Support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96</v>
      </c>
      <c r="H176" s="35">
        <f>IFERROR(G176/F176,0)</f>
        <v>0</v>
      </c>
      <c r="I176" s="156" t="s">
        <v>754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16.758309999999998</v>
      </c>
      <c r="H179" s="35">
        <f t="shared" si="187"/>
        <v>0</v>
      </c>
      <c r="I179" s="187" t="s">
        <v>754</v>
      </c>
      <c r="J179" s="212">
        <v>0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</v>
      </c>
      <c r="G180" s="35">
        <f>SUMIFS(WORKING!$AC$3:$AC$6802,WORKING!$A$3:$A$6802,Results!$D$3,WORKING!$B$3:$B$6802,Results!A180,WORKING!$C$3:$C$6802,Results!C180)/1000</f>
        <v>171.97221999999999</v>
      </c>
      <c r="H180" s="35">
        <f t="shared" si="187"/>
        <v>171.97221999999999</v>
      </c>
      <c r="I180" s="187">
        <v>6</v>
      </c>
      <c r="J180" s="212">
        <v>1145</v>
      </c>
      <c r="K180" s="217">
        <f t="shared" si="188"/>
        <v>190.83333333333334</v>
      </c>
      <c r="L180" s="34">
        <f t="shared" si="181"/>
        <v>6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207.85662176493167</v>
      </c>
      <c r="N180" s="57">
        <v>0</v>
      </c>
      <c r="O180" s="57">
        <v>0</v>
      </c>
      <c r="P180" s="61">
        <f t="shared" si="182"/>
        <v>6</v>
      </c>
      <c r="Q180" s="40">
        <f t="shared" si="189"/>
        <v>0</v>
      </c>
      <c r="R180" s="40">
        <f t="shared" si="190"/>
        <v>0</v>
      </c>
      <c r="S180" s="44">
        <f t="shared" si="191"/>
        <v>1247.13973058959</v>
      </c>
      <c r="T180" s="35">
        <f t="shared" si="192"/>
        <v>6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225.57024515083273</v>
      </c>
      <c r="V180" s="57">
        <v>0</v>
      </c>
      <c r="W180" s="57">
        <v>0</v>
      </c>
      <c r="X180" s="61">
        <f t="shared" si="183"/>
        <v>6</v>
      </c>
      <c r="Y180" s="40">
        <f t="shared" si="193"/>
        <v>0</v>
      </c>
      <c r="Z180" s="40">
        <f t="shared" si="194"/>
        <v>0</v>
      </c>
      <c r="AA180" s="44">
        <f t="shared" si="195"/>
        <v>1353.4214709049963</v>
      </c>
      <c r="AB180" s="35">
        <f t="shared" si="196"/>
        <v>6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244.5645844518736</v>
      </c>
      <c r="AD180" s="57">
        <v>0</v>
      </c>
      <c r="AE180" s="57">
        <v>0</v>
      </c>
      <c r="AF180" s="61">
        <f t="shared" si="184"/>
        <v>6</v>
      </c>
      <c r="AG180" s="40">
        <f t="shared" si="197"/>
        <v>0</v>
      </c>
      <c r="AH180" s="40">
        <f t="shared" si="198"/>
        <v>0</v>
      </c>
      <c r="AI180" s="44">
        <f t="shared" si="199"/>
        <v>1467.3875067112417</v>
      </c>
      <c r="AJ180" s="35">
        <f t="shared" si="185"/>
        <v>6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264.66212617184374</v>
      </c>
      <c r="AL180" s="57">
        <v>0</v>
      </c>
      <c r="AM180" s="57">
        <v>0</v>
      </c>
      <c r="AN180" s="61">
        <f t="shared" si="186"/>
        <v>6</v>
      </c>
      <c r="AO180" s="40">
        <f t="shared" si="200"/>
        <v>0</v>
      </c>
      <c r="AP180" s="40">
        <f t="shared" si="201"/>
        <v>0</v>
      </c>
      <c r="AQ180" s="44">
        <f t="shared" si="202"/>
        <v>1587.9727570310624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3</v>
      </c>
      <c r="G181" s="35">
        <f>SUMIFS(WORKING!$AC$3:$AC$6802,WORKING!$A$3:$A$6802,Results!$D$3,WORKING!$B$3:$B$6802,Results!A181,WORKING!$C$3:$C$6802,Results!C181)/1000</f>
        <v>497.61952999999988</v>
      </c>
      <c r="H181" s="35">
        <f t="shared" si="187"/>
        <v>165.87317666666664</v>
      </c>
      <c r="I181" s="187">
        <v>3</v>
      </c>
      <c r="J181" s="212">
        <v>701</v>
      </c>
      <c r="K181" s="217">
        <f t="shared" si="188"/>
        <v>233.66666666666666</v>
      </c>
      <c r="L181" s="34">
        <f t="shared" si="181"/>
        <v>3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254.29992462503233</v>
      </c>
      <c r="N181" s="57">
        <v>0</v>
      </c>
      <c r="O181" s="57">
        <v>0</v>
      </c>
      <c r="P181" s="61">
        <f t="shared" si="182"/>
        <v>3</v>
      </c>
      <c r="Q181" s="40">
        <f t="shared" si="189"/>
        <v>0</v>
      </c>
      <c r="R181" s="40">
        <f t="shared" si="190"/>
        <v>0</v>
      </c>
      <c r="S181" s="44">
        <f t="shared" si="191"/>
        <v>762.89977387509703</v>
      </c>
      <c r="T181" s="35">
        <f t="shared" si="192"/>
        <v>3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275.9023500138415</v>
      </c>
      <c r="V181" s="57">
        <v>0</v>
      </c>
      <c r="W181" s="57">
        <v>1</v>
      </c>
      <c r="X181" s="61">
        <f t="shared" si="183"/>
        <v>2</v>
      </c>
      <c r="Y181" s="40">
        <f t="shared" si="193"/>
        <v>0</v>
      </c>
      <c r="Z181" s="40">
        <f t="shared" si="194"/>
        <v>-275.9023500138415</v>
      </c>
      <c r="AA181" s="44">
        <f t="shared" si="195"/>
        <v>551.804700027683</v>
      </c>
      <c r="AB181" s="35">
        <f t="shared" si="196"/>
        <v>2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299.06026470386092</v>
      </c>
      <c r="AD181" s="57">
        <v>0</v>
      </c>
      <c r="AE181" s="57">
        <v>0</v>
      </c>
      <c r="AF181" s="61">
        <f t="shared" si="184"/>
        <v>2</v>
      </c>
      <c r="AG181" s="40">
        <f t="shared" si="197"/>
        <v>0</v>
      </c>
      <c r="AH181" s="40">
        <f t="shared" si="198"/>
        <v>0</v>
      </c>
      <c r="AI181" s="44">
        <f t="shared" si="199"/>
        <v>598.12052940772185</v>
      </c>
      <c r="AJ181" s="35">
        <f t="shared" si="185"/>
        <v>2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323.55579209192553</v>
      </c>
      <c r="AL181" s="57">
        <v>0</v>
      </c>
      <c r="AM181" s="57">
        <v>0</v>
      </c>
      <c r="AN181" s="61">
        <f t="shared" si="186"/>
        <v>2</v>
      </c>
      <c r="AO181" s="40">
        <f t="shared" si="200"/>
        <v>0</v>
      </c>
      <c r="AP181" s="40">
        <f t="shared" si="201"/>
        <v>0</v>
      </c>
      <c r="AQ181" s="44">
        <f t="shared" si="202"/>
        <v>647.11158418385105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2</v>
      </c>
      <c r="G182" s="35">
        <f>SUMIFS(WORKING!$AC$3:$AC$6802,WORKING!$A$3:$A$6802,Results!$D$3,WORKING!$B$3:$B$6802,Results!A182,WORKING!$C$3:$C$6802,Results!C182)/1000</f>
        <v>712.47406999999998</v>
      </c>
      <c r="H182" s="35">
        <f t="shared" si="187"/>
        <v>356.23703499999999</v>
      </c>
      <c r="I182" s="187">
        <v>7</v>
      </c>
      <c r="J182" s="212">
        <v>2128</v>
      </c>
      <c r="K182" s="217">
        <f t="shared" si="188"/>
        <v>304</v>
      </c>
      <c r="L182" s="34">
        <f t="shared" si="181"/>
        <v>7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330.95623237297497</v>
      </c>
      <c r="N182" s="57">
        <v>0</v>
      </c>
      <c r="O182" s="57">
        <v>0</v>
      </c>
      <c r="P182" s="61">
        <f t="shared" si="182"/>
        <v>7</v>
      </c>
      <c r="Q182" s="40">
        <f t="shared" si="189"/>
        <v>0</v>
      </c>
      <c r="R182" s="40">
        <f t="shared" si="190"/>
        <v>0</v>
      </c>
      <c r="S182" s="44">
        <f t="shared" si="191"/>
        <v>2316.6936266108246</v>
      </c>
      <c r="T182" s="35">
        <f t="shared" si="192"/>
        <v>7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359.102751479593</v>
      </c>
      <c r="V182" s="57">
        <v>0</v>
      </c>
      <c r="W182" s="57">
        <v>0</v>
      </c>
      <c r="X182" s="61">
        <f t="shared" si="183"/>
        <v>7</v>
      </c>
      <c r="Y182" s="40">
        <f t="shared" si="193"/>
        <v>0</v>
      </c>
      <c r="Z182" s="40">
        <f t="shared" si="194"/>
        <v>0</v>
      </c>
      <c r="AA182" s="44">
        <f t="shared" si="195"/>
        <v>2513.7192603571511</v>
      </c>
      <c r="AB182" s="35">
        <f t="shared" si="196"/>
        <v>7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389.279191517774</v>
      </c>
      <c r="AD182" s="57">
        <v>0</v>
      </c>
      <c r="AE182" s="57">
        <v>0</v>
      </c>
      <c r="AF182" s="61">
        <f t="shared" si="184"/>
        <v>7</v>
      </c>
      <c r="AG182" s="40">
        <f t="shared" si="197"/>
        <v>0</v>
      </c>
      <c r="AH182" s="40">
        <f t="shared" si="198"/>
        <v>0</v>
      </c>
      <c r="AI182" s="44">
        <f t="shared" si="199"/>
        <v>2724.9543406244179</v>
      </c>
      <c r="AJ182" s="35">
        <f t="shared" si="185"/>
        <v>7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421.20263913658818</v>
      </c>
      <c r="AL182" s="57">
        <v>0</v>
      </c>
      <c r="AM182" s="57">
        <v>0</v>
      </c>
      <c r="AN182" s="61">
        <f t="shared" si="186"/>
        <v>7</v>
      </c>
      <c r="AO182" s="40">
        <f t="shared" si="200"/>
        <v>0</v>
      </c>
      <c r="AP182" s="40">
        <f t="shared" si="201"/>
        <v>0</v>
      </c>
      <c r="AQ182" s="44">
        <f t="shared" si="202"/>
        <v>2948.4184739561174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1</v>
      </c>
      <c r="G183" s="35">
        <f>SUMIFS(WORKING!$AC$3:$AC$6802,WORKING!$A$3:$A$6802,Results!$D$3,WORKING!$B$3:$B$6802,Results!A183,WORKING!$C$3:$C$6802,Results!C183)/1000</f>
        <v>361.45897000000002</v>
      </c>
      <c r="H183" s="35">
        <f t="shared" si="187"/>
        <v>361.45897000000002</v>
      </c>
      <c r="I183" s="187">
        <v>0</v>
      </c>
      <c r="J183" s="212">
        <v>0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393.44999868639042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426.8942479227573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462.74878615313651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500.67694644503086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1</v>
      </c>
      <c r="G184" s="35">
        <f>SUMIFS(WORKING!$AC$3:$AC$6802,WORKING!$A$3:$A$6802,Results!$D$3,WORKING!$B$3:$B$6802,Results!A184,WORKING!$C$3:$C$6802,Results!C184)/1000</f>
        <v>123.19338</v>
      </c>
      <c r="H184" s="35">
        <f t="shared" si="187"/>
        <v>123.19338</v>
      </c>
      <c r="I184" s="187">
        <v>10</v>
      </c>
      <c r="J184" s="212">
        <v>3353</v>
      </c>
      <c r="K184" s="217">
        <f t="shared" si="188"/>
        <v>335.3</v>
      </c>
      <c r="L184" s="34">
        <f t="shared" si="181"/>
        <v>10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366.19351757950409</v>
      </c>
      <c r="N184" s="57">
        <v>0</v>
      </c>
      <c r="O184" s="57">
        <v>0</v>
      </c>
      <c r="P184" s="61">
        <f t="shared" si="182"/>
        <v>10</v>
      </c>
      <c r="Q184" s="40">
        <f t="shared" si="189"/>
        <v>0</v>
      </c>
      <c r="R184" s="40">
        <f t="shared" si="190"/>
        <v>0</v>
      </c>
      <c r="S184" s="44">
        <f t="shared" si="191"/>
        <v>3661.9351757950408</v>
      </c>
      <c r="T184" s="35">
        <f t="shared" si="192"/>
        <v>10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397.7033571984532</v>
      </c>
      <c r="V184" s="57">
        <v>0</v>
      </c>
      <c r="W184" s="57">
        <v>1</v>
      </c>
      <c r="X184" s="61">
        <f t="shared" si="183"/>
        <v>9</v>
      </c>
      <c r="Y184" s="40">
        <f t="shared" si="193"/>
        <v>0</v>
      </c>
      <c r="Z184" s="40">
        <f t="shared" si="194"/>
        <v>-397.7033571984532</v>
      </c>
      <c r="AA184" s="44">
        <f t="shared" si="195"/>
        <v>3579.3302147860786</v>
      </c>
      <c r="AB184" s="35">
        <f t="shared" si="196"/>
        <v>9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431.52085500514835</v>
      </c>
      <c r="AD184" s="57">
        <v>0</v>
      </c>
      <c r="AE184" s="57">
        <v>0</v>
      </c>
      <c r="AF184" s="61">
        <f t="shared" si="184"/>
        <v>9</v>
      </c>
      <c r="AG184" s="40">
        <f t="shared" si="197"/>
        <v>0</v>
      </c>
      <c r="AH184" s="40">
        <f t="shared" si="198"/>
        <v>0</v>
      </c>
      <c r="AI184" s="44">
        <f t="shared" si="199"/>
        <v>3883.6876950463352</v>
      </c>
      <c r="AJ184" s="35">
        <f t="shared" si="185"/>
        <v>9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467.33793620446482</v>
      </c>
      <c r="AL184" s="57">
        <v>0</v>
      </c>
      <c r="AM184" s="57">
        <v>0</v>
      </c>
      <c r="AN184" s="61">
        <f t="shared" si="186"/>
        <v>9</v>
      </c>
      <c r="AO184" s="40">
        <f t="shared" si="200"/>
        <v>0</v>
      </c>
      <c r="AP184" s="40">
        <f t="shared" si="201"/>
        <v>0</v>
      </c>
      <c r="AQ184" s="44">
        <f t="shared" si="202"/>
        <v>4206.0414258401834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>
        <v>1</v>
      </c>
      <c r="J185" s="212">
        <v>551</v>
      </c>
      <c r="K185" s="217">
        <f t="shared" si="188"/>
        <v>551</v>
      </c>
      <c r="L185" s="34">
        <f t="shared" si="181"/>
        <v>1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591.67905417096313</v>
      </c>
      <c r="N185" s="57">
        <v>0</v>
      </c>
      <c r="O185" s="57">
        <v>0</v>
      </c>
      <c r="P185" s="61">
        <f t="shared" si="182"/>
        <v>1</v>
      </c>
      <c r="Q185" s="40">
        <f t="shared" si="189"/>
        <v>0</v>
      </c>
      <c r="R185" s="40">
        <f t="shared" si="190"/>
        <v>0</v>
      </c>
      <c r="S185" s="44">
        <f t="shared" si="191"/>
        <v>591.67905417096313</v>
      </c>
      <c r="T185" s="35">
        <f t="shared" si="192"/>
        <v>1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633.11618389930038</v>
      </c>
      <c r="V185" s="57">
        <v>0</v>
      </c>
      <c r="W185" s="57">
        <v>0</v>
      </c>
      <c r="X185" s="61">
        <f t="shared" si="183"/>
        <v>1</v>
      </c>
      <c r="Y185" s="40">
        <f t="shared" si="193"/>
        <v>0</v>
      </c>
      <c r="Z185" s="40">
        <f t="shared" si="194"/>
        <v>0</v>
      </c>
      <c r="AA185" s="44">
        <f t="shared" si="195"/>
        <v>633.11618389930038</v>
      </c>
      <c r="AB185" s="35">
        <f t="shared" si="196"/>
        <v>1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676.82216888926962</v>
      </c>
      <c r="AD185" s="57">
        <v>0</v>
      </c>
      <c r="AE185" s="57">
        <v>0</v>
      </c>
      <c r="AF185" s="61">
        <f t="shared" si="184"/>
        <v>1</v>
      </c>
      <c r="AG185" s="40">
        <f t="shared" si="197"/>
        <v>0</v>
      </c>
      <c r="AH185" s="40">
        <f t="shared" si="198"/>
        <v>0</v>
      </c>
      <c r="AI185" s="44">
        <f t="shared" si="199"/>
        <v>676.82216888926962</v>
      </c>
      <c r="AJ185" s="35">
        <f t="shared" si="185"/>
        <v>1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722.19167001298479</v>
      </c>
      <c r="AL185" s="57">
        <v>0</v>
      </c>
      <c r="AM185" s="57">
        <v>0</v>
      </c>
      <c r="AN185" s="61">
        <f t="shared" si="186"/>
        <v>1</v>
      </c>
      <c r="AO185" s="40">
        <f t="shared" si="200"/>
        <v>0</v>
      </c>
      <c r="AP185" s="40">
        <f t="shared" si="201"/>
        <v>0</v>
      </c>
      <c r="AQ185" s="44">
        <f t="shared" si="202"/>
        <v>722.19167001298479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1</v>
      </c>
      <c r="G186" s="35">
        <f>SUMIFS(WORKING!$AC$3:$AC$6802,WORKING!$A$3:$A$6802,Results!$D$3,WORKING!$B$3:$B$6802,Results!A186,WORKING!$C$3:$C$6802,Results!C186)/1000</f>
        <v>873.1358399999998</v>
      </c>
      <c r="H186" s="35">
        <f t="shared" si="187"/>
        <v>873.1358399999998</v>
      </c>
      <c r="I186" s="187">
        <v>3</v>
      </c>
      <c r="J186" s="212">
        <v>2430</v>
      </c>
      <c r="K186" s="217">
        <f t="shared" si="188"/>
        <v>810</v>
      </c>
      <c r="L186" s="34">
        <f t="shared" si="181"/>
        <v>3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883.99170358094796</v>
      </c>
      <c r="N186" s="57">
        <v>1</v>
      </c>
      <c r="O186" s="57">
        <v>0</v>
      </c>
      <c r="P186" s="61">
        <f t="shared" si="182"/>
        <v>4</v>
      </c>
      <c r="Q186" s="40">
        <f t="shared" si="189"/>
        <v>883.99170358094796</v>
      </c>
      <c r="R186" s="40">
        <f t="shared" si="190"/>
        <v>0</v>
      </c>
      <c r="S186" s="44">
        <f t="shared" si="191"/>
        <v>3535.9668143237918</v>
      </c>
      <c r="T186" s="35">
        <f t="shared" si="192"/>
        <v>4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959.36278080676345</v>
      </c>
      <c r="V186" s="57">
        <v>0</v>
      </c>
      <c r="W186" s="57">
        <v>0</v>
      </c>
      <c r="X186" s="61">
        <f t="shared" si="183"/>
        <v>4</v>
      </c>
      <c r="Y186" s="40">
        <f t="shared" si="193"/>
        <v>0</v>
      </c>
      <c r="Z186" s="40">
        <f t="shared" si="194"/>
        <v>0</v>
      </c>
      <c r="AA186" s="44">
        <f t="shared" si="195"/>
        <v>3837.4511232270538</v>
      </c>
      <c r="AB186" s="35">
        <f t="shared" si="196"/>
        <v>4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1040.1871149956348</v>
      </c>
      <c r="AD186" s="57">
        <v>0</v>
      </c>
      <c r="AE186" s="57">
        <v>0</v>
      </c>
      <c r="AF186" s="61">
        <f t="shared" si="184"/>
        <v>4</v>
      </c>
      <c r="AG186" s="40">
        <f t="shared" si="197"/>
        <v>0</v>
      </c>
      <c r="AH186" s="40">
        <f t="shared" si="198"/>
        <v>0</v>
      </c>
      <c r="AI186" s="44">
        <f t="shared" si="199"/>
        <v>4160.7484599825393</v>
      </c>
      <c r="AJ186" s="35">
        <f t="shared" si="185"/>
        <v>4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1125.7106843779138</v>
      </c>
      <c r="AL186" s="57">
        <v>0</v>
      </c>
      <c r="AM186" s="57">
        <v>0</v>
      </c>
      <c r="AN186" s="61">
        <f t="shared" si="186"/>
        <v>4</v>
      </c>
      <c r="AO186" s="40">
        <f t="shared" si="200"/>
        <v>0</v>
      </c>
      <c r="AP186" s="40">
        <f t="shared" si="201"/>
        <v>0</v>
      </c>
      <c r="AQ186" s="44">
        <f t="shared" si="202"/>
        <v>4502.8427375116553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5</v>
      </c>
      <c r="G187" s="35">
        <f>SUMIFS(WORKING!$AC$3:$AC$6802,WORKING!$A$3:$A$6802,Results!$D$3,WORKING!$B$3:$B$6802,Results!A187,WORKING!$C$3:$C$6802,Results!C187)/1000</f>
        <v>3703.2057699999996</v>
      </c>
      <c r="H187" s="35">
        <f t="shared" si="187"/>
        <v>740.64115399999991</v>
      </c>
      <c r="I187" s="187">
        <v>4</v>
      </c>
      <c r="J187" s="212">
        <v>3083</v>
      </c>
      <c r="K187" s="217">
        <f t="shared" si="188"/>
        <v>770.75</v>
      </c>
      <c r="L187" s="34">
        <f t="shared" si="181"/>
        <v>4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841.61980516655797</v>
      </c>
      <c r="N187" s="57">
        <v>0</v>
      </c>
      <c r="O187" s="57">
        <v>0</v>
      </c>
      <c r="P187" s="61">
        <f t="shared" si="182"/>
        <v>4</v>
      </c>
      <c r="Q187" s="40">
        <f t="shared" si="189"/>
        <v>0</v>
      </c>
      <c r="R187" s="40">
        <f t="shared" si="190"/>
        <v>0</v>
      </c>
      <c r="S187" s="44">
        <f t="shared" si="191"/>
        <v>3366.4792206662319</v>
      </c>
      <c r="T187" s="35">
        <f t="shared" si="192"/>
        <v>4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913.88145954490403</v>
      </c>
      <c r="V187" s="57">
        <v>0</v>
      </c>
      <c r="W187" s="57">
        <v>0</v>
      </c>
      <c r="X187" s="61">
        <f t="shared" si="183"/>
        <v>4</v>
      </c>
      <c r="Y187" s="40">
        <f t="shared" si="193"/>
        <v>0</v>
      </c>
      <c r="Z187" s="40">
        <f t="shared" si="194"/>
        <v>0</v>
      </c>
      <c r="AA187" s="44">
        <f t="shared" si="195"/>
        <v>3655.5258381796161</v>
      </c>
      <c r="AB187" s="35">
        <f t="shared" si="196"/>
        <v>4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991.42008725931987</v>
      </c>
      <c r="AD187" s="57">
        <v>0</v>
      </c>
      <c r="AE187" s="57">
        <v>0</v>
      </c>
      <c r="AF187" s="61">
        <f t="shared" si="184"/>
        <v>4</v>
      </c>
      <c r="AG187" s="40">
        <f t="shared" si="197"/>
        <v>0</v>
      </c>
      <c r="AH187" s="40">
        <f t="shared" si="198"/>
        <v>0</v>
      </c>
      <c r="AI187" s="44">
        <f t="shared" si="199"/>
        <v>3965.6803490372795</v>
      </c>
      <c r="AJ187" s="35">
        <f t="shared" si="185"/>
        <v>4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1073.5252789102326</v>
      </c>
      <c r="AL187" s="57">
        <v>0</v>
      </c>
      <c r="AM187" s="57">
        <v>0</v>
      </c>
      <c r="AN187" s="61">
        <f t="shared" si="186"/>
        <v>4</v>
      </c>
      <c r="AO187" s="40">
        <f t="shared" si="200"/>
        <v>0</v>
      </c>
      <c r="AP187" s="40">
        <f t="shared" si="201"/>
        <v>0</v>
      </c>
      <c r="AQ187" s="44">
        <f t="shared" si="202"/>
        <v>4294.1011156409304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4</v>
      </c>
      <c r="G188" s="35">
        <f>SUMIFS(WORKING!$AC$3:$AC$6802,WORKING!$A$3:$A$6802,Results!$D$3,WORKING!$B$3:$B$6802,Results!A188,WORKING!$C$3:$C$6802,Results!C188)/1000</f>
        <v>2281.22588</v>
      </c>
      <c r="H188" s="35">
        <f t="shared" si="187"/>
        <v>570.30646999999999</v>
      </c>
      <c r="I188" s="187">
        <v>7</v>
      </c>
      <c r="J188" s="212">
        <v>5852</v>
      </c>
      <c r="K188" s="217">
        <f t="shared" si="188"/>
        <v>836</v>
      </c>
      <c r="L188" s="34">
        <f t="shared" si="181"/>
        <v>7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876.46314568620596</v>
      </c>
      <c r="N188" s="57">
        <v>2</v>
      </c>
      <c r="O188" s="57">
        <v>1</v>
      </c>
      <c r="P188" s="61">
        <f t="shared" si="182"/>
        <v>8</v>
      </c>
      <c r="Q188" s="40">
        <f t="shared" si="189"/>
        <v>1752.9262913724119</v>
      </c>
      <c r="R188" s="40">
        <f t="shared" si="190"/>
        <v>-876.46314568620596</v>
      </c>
      <c r="S188" s="44">
        <f t="shared" si="191"/>
        <v>7011.7051654896477</v>
      </c>
      <c r="T188" s="35">
        <f t="shared" si="192"/>
        <v>8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942.90206034698156</v>
      </c>
      <c r="V188" s="57">
        <v>0</v>
      </c>
      <c r="W188" s="57">
        <v>2</v>
      </c>
      <c r="X188" s="61">
        <f t="shared" si="183"/>
        <v>6</v>
      </c>
      <c r="Y188" s="40">
        <f t="shared" si="193"/>
        <v>0</v>
      </c>
      <c r="Z188" s="40">
        <f t="shared" si="194"/>
        <v>-1885.8041206939631</v>
      </c>
      <c r="AA188" s="44">
        <f t="shared" si="195"/>
        <v>5657.4123620818891</v>
      </c>
      <c r="AB188" s="35">
        <f t="shared" si="196"/>
        <v>6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1013.4203130809805</v>
      </c>
      <c r="AD188" s="57">
        <v>0</v>
      </c>
      <c r="AE188" s="57">
        <v>0</v>
      </c>
      <c r="AF188" s="61">
        <f t="shared" si="184"/>
        <v>6</v>
      </c>
      <c r="AG188" s="40">
        <f t="shared" si="197"/>
        <v>0</v>
      </c>
      <c r="AH188" s="40">
        <f t="shared" si="198"/>
        <v>0</v>
      </c>
      <c r="AI188" s="44">
        <f t="shared" si="199"/>
        <v>6080.5218784858826</v>
      </c>
      <c r="AJ188" s="35">
        <f t="shared" si="185"/>
        <v>6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1087.155463217478</v>
      </c>
      <c r="AL188" s="57">
        <v>0</v>
      </c>
      <c r="AM188" s="57">
        <v>0</v>
      </c>
      <c r="AN188" s="61">
        <f t="shared" si="186"/>
        <v>6</v>
      </c>
      <c r="AO188" s="40">
        <f t="shared" si="200"/>
        <v>0</v>
      </c>
      <c r="AP188" s="40">
        <f t="shared" si="201"/>
        <v>0</v>
      </c>
      <c r="AQ188" s="44">
        <f t="shared" si="202"/>
        <v>6522.9327793048678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2</v>
      </c>
      <c r="G189" s="35">
        <f>SUMIFS(WORKING!$AC$3:$AC$6802,WORKING!$A$3:$A$6802,Results!$D$3,WORKING!$B$3:$B$6802,Results!A189,WORKING!$C$3:$C$6802,Results!C189)/1000</f>
        <v>2793.4673599999996</v>
      </c>
      <c r="H189" s="35">
        <f t="shared" si="187"/>
        <v>1396.7336799999998</v>
      </c>
      <c r="I189" s="187">
        <v>4</v>
      </c>
      <c r="J189" s="212">
        <v>5562</v>
      </c>
      <c r="K189" s="217">
        <f t="shared" si="188"/>
        <v>1390.5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1457.7128040745392</v>
      </c>
      <c r="N189" s="57">
        <v>0</v>
      </c>
      <c r="O189" s="57">
        <v>0</v>
      </c>
      <c r="P189" s="61">
        <f t="shared" si="182"/>
        <v>4</v>
      </c>
      <c r="Q189" s="40">
        <f t="shared" si="189"/>
        <v>0</v>
      </c>
      <c r="R189" s="40">
        <f t="shared" si="190"/>
        <v>0</v>
      </c>
      <c r="S189" s="44">
        <f t="shared" si="191"/>
        <v>5830.8512162981569</v>
      </c>
      <c r="T189" s="35">
        <f t="shared" si="192"/>
        <v>4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1568.1170884804526</v>
      </c>
      <c r="V189" s="57">
        <v>0</v>
      </c>
      <c r="W189" s="57">
        <v>0</v>
      </c>
      <c r="X189" s="61">
        <f t="shared" si="183"/>
        <v>4</v>
      </c>
      <c r="Y189" s="40">
        <f t="shared" si="193"/>
        <v>0</v>
      </c>
      <c r="Z189" s="40">
        <f t="shared" si="194"/>
        <v>0</v>
      </c>
      <c r="AA189" s="44">
        <f t="shared" si="195"/>
        <v>6272.4683539218104</v>
      </c>
      <c r="AB189" s="35">
        <f t="shared" si="196"/>
        <v>4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1685.29177578447</v>
      </c>
      <c r="AD189" s="57">
        <v>0</v>
      </c>
      <c r="AE189" s="57">
        <v>0</v>
      </c>
      <c r="AF189" s="61">
        <f t="shared" si="184"/>
        <v>4</v>
      </c>
      <c r="AG189" s="40">
        <f t="shared" si="197"/>
        <v>0</v>
      </c>
      <c r="AH189" s="40">
        <f t="shared" si="198"/>
        <v>0</v>
      </c>
      <c r="AI189" s="44">
        <f t="shared" si="199"/>
        <v>6741.1671031378801</v>
      </c>
      <c r="AJ189" s="35">
        <f t="shared" si="185"/>
        <v>4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1807.8015004818021</v>
      </c>
      <c r="AL189" s="57">
        <v>0</v>
      </c>
      <c r="AM189" s="57">
        <v>0</v>
      </c>
      <c r="AN189" s="61">
        <f t="shared" si="186"/>
        <v>4</v>
      </c>
      <c r="AO189" s="40">
        <f t="shared" si="200"/>
        <v>0</v>
      </c>
      <c r="AP189" s="40">
        <f t="shared" si="201"/>
        <v>0</v>
      </c>
      <c r="AQ189" s="44">
        <f t="shared" si="202"/>
        <v>7231.2060019272085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1</v>
      </c>
      <c r="G190" s="35">
        <f>SUMIFS(WORKING!$AC$3:$AC$6802,WORKING!$A$3:$A$6802,Results!$D$3,WORKING!$B$3:$B$6802,Results!A190,WORKING!$C$3:$C$6802,Results!C190)/1000</f>
        <v>1324.5037299999999</v>
      </c>
      <c r="H190" s="35">
        <f t="shared" si="187"/>
        <v>1324.5037299999999</v>
      </c>
      <c r="I190" s="187">
        <v>0</v>
      </c>
      <c r="J190" s="212">
        <v>1228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1388.3030735561497</v>
      </c>
      <c r="N190" s="57">
        <v>1</v>
      </c>
      <c r="O190" s="57">
        <v>0</v>
      </c>
      <c r="P190" s="61">
        <f t="shared" si="182"/>
        <v>1</v>
      </c>
      <c r="Q190" s="40">
        <f t="shared" si="189"/>
        <v>1388.3030735561497</v>
      </c>
      <c r="R190" s="40">
        <f t="shared" si="190"/>
        <v>0</v>
      </c>
      <c r="S190" s="44">
        <f t="shared" si="191"/>
        <v>1388.3030735561497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1493.2101328234321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1493.2101328234321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1604.5293529918331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1604.5293529918331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1720.8912709325689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1720.8912709325689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21</v>
      </c>
      <c r="G196" s="41">
        <f>SUM(G176:G195)</f>
        <v>12955.015059999998</v>
      </c>
      <c r="H196" s="41">
        <f>IFERROR(G196/F196,0)</f>
        <v>616.905479047619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45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26033</v>
      </c>
      <c r="K196" s="41">
        <f>IFERROR(J196/I196,"")</f>
        <v>578.51111111111106</v>
      </c>
      <c r="L196" s="41">
        <f>SUM(L176:L195)</f>
        <v>45</v>
      </c>
      <c r="M196" s="41">
        <f>IFERROR(S196/P196,0)</f>
        <v>619.03443440365606</v>
      </c>
      <c r="N196" s="41">
        <f t="shared" ref="N196:T196" si="203">SUM(N176:N195)</f>
        <v>4</v>
      </c>
      <c r="O196" s="41">
        <f t="shared" si="203"/>
        <v>1</v>
      </c>
      <c r="P196" s="41">
        <f t="shared" si="203"/>
        <v>48</v>
      </c>
      <c r="Q196" s="41">
        <f t="shared" si="203"/>
        <v>4025.2210685095097</v>
      </c>
      <c r="R196" s="41">
        <f t="shared" si="203"/>
        <v>-876.46314568620596</v>
      </c>
      <c r="S196" s="45">
        <f t="shared" si="203"/>
        <v>29713.652851375489</v>
      </c>
      <c r="T196" s="41">
        <f t="shared" si="203"/>
        <v>48</v>
      </c>
      <c r="U196" s="41">
        <f>IFERROR(AA196/X196,0)</f>
        <v>671.53317364111388</v>
      </c>
      <c r="V196" s="41">
        <f t="shared" ref="V196:AB196" si="204">SUM(V176:V195)</f>
        <v>0</v>
      </c>
      <c r="W196" s="41">
        <f t="shared" si="204"/>
        <v>4</v>
      </c>
      <c r="X196" s="41">
        <f t="shared" si="204"/>
        <v>44</v>
      </c>
      <c r="Y196" s="41">
        <f t="shared" si="204"/>
        <v>0</v>
      </c>
      <c r="Z196" s="41">
        <f t="shared" si="204"/>
        <v>-2559.4098279062578</v>
      </c>
      <c r="AA196" s="45">
        <f t="shared" si="204"/>
        <v>29547.45964020901</v>
      </c>
      <c r="AB196" s="41">
        <f t="shared" si="204"/>
        <v>44</v>
      </c>
      <c r="AC196" s="41">
        <f>IFERROR(AI196/AF196,0)</f>
        <v>725.08225873441813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44</v>
      </c>
      <c r="AG196" s="41">
        <f t="shared" si="205"/>
        <v>0</v>
      </c>
      <c r="AH196" s="41">
        <f t="shared" si="205"/>
        <v>0</v>
      </c>
      <c r="AI196" s="45">
        <f t="shared" si="205"/>
        <v>31903.619384314399</v>
      </c>
      <c r="AJ196" s="41">
        <f t="shared" si="205"/>
        <v>44</v>
      </c>
      <c r="AK196" s="41">
        <f>IFERROR(AQ196/AN196,0)</f>
        <v>781.44795037139602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44</v>
      </c>
      <c r="AO196" s="41">
        <f t="shared" si="206"/>
        <v>0</v>
      </c>
      <c r="AP196" s="41">
        <f t="shared" si="206"/>
        <v>0</v>
      </c>
      <c r="AQ196" s="45">
        <f t="shared" si="206"/>
        <v>34383.709816341427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30013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31412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33479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36023.404000000002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299.34714862451074</v>
      </c>
      <c r="T198" s="39"/>
      <c r="U198" s="39"/>
      <c r="V198" s="53"/>
      <c r="W198" s="53"/>
      <c r="X198" s="110"/>
      <c r="Y198" s="39"/>
      <c r="Z198" s="39"/>
      <c r="AA198" s="54">
        <f>AA197-AA196</f>
        <v>1864.5403597909899</v>
      </c>
      <c r="AB198" s="39"/>
      <c r="AC198" s="53"/>
      <c r="AD198" s="53"/>
      <c r="AE198" s="110"/>
      <c r="AF198" s="39"/>
      <c r="AG198" s="39"/>
      <c r="AH198" s="39"/>
      <c r="AI198" s="54">
        <f>AI197-AI196</f>
        <v>1575.3806156856008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1639.6941836585756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Governance of Public Administration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3</v>
      </c>
      <c r="G204" s="35">
        <f>SUMIFS(WORKING!$AC$3:$AC$6802,WORKING!$A$3:$A$6802,Results!$D$3,WORKING!$B$3:$B$6802,Results!A204,WORKING!$C$3:$C$6802,Results!C204)/1000</f>
        <v>24</v>
      </c>
      <c r="H204" s="35">
        <f>IFERROR(G204/F204,0)</f>
        <v>8</v>
      </c>
      <c r="I204" s="156">
        <v>0</v>
      </c>
      <c r="J204" s="211">
        <v>0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8.7371199999999991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9.4889491759999984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10.295841969181156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11.150448331833037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>
        <v>0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7.41831</v>
      </c>
      <c r="H207" s="35">
        <f t="shared" si="213"/>
        <v>0</v>
      </c>
      <c r="I207" s="187">
        <v>0</v>
      </c>
      <c r="J207" s="212">
        <v>0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244.86958999999996</v>
      </c>
      <c r="H208" s="35">
        <f t="shared" si="213"/>
        <v>0</v>
      </c>
      <c r="I208" s="187" t="s">
        <v>754</v>
      </c>
      <c r="J208" s="212">
        <v>0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2</v>
      </c>
      <c r="G209" s="35">
        <f>SUMIFS(WORKING!$AC$3:$AC$6802,WORKING!$A$3:$A$6802,Results!$D$3,WORKING!$B$3:$B$6802,Results!A209,WORKING!$C$3:$C$6802,Results!C209)/1000</f>
        <v>470.61198999999999</v>
      </c>
      <c r="H209" s="35">
        <f t="shared" si="213"/>
        <v>235.305995</v>
      </c>
      <c r="I209" s="187">
        <v>4</v>
      </c>
      <c r="J209" s="212">
        <v>850</v>
      </c>
      <c r="K209" s="217">
        <f t="shared" si="214"/>
        <v>212.5</v>
      </c>
      <c r="L209" s="34">
        <f t="shared" si="207"/>
        <v>4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230.91870764882944</v>
      </c>
      <c r="N209" s="57">
        <v>0</v>
      </c>
      <c r="O209" s="57">
        <v>0</v>
      </c>
      <c r="P209" s="61">
        <f t="shared" si="208"/>
        <v>4</v>
      </c>
      <c r="Q209" s="40">
        <f t="shared" si="215"/>
        <v>0</v>
      </c>
      <c r="R209" s="40">
        <f t="shared" si="216"/>
        <v>0</v>
      </c>
      <c r="S209" s="44">
        <f t="shared" si="217"/>
        <v>923.67483059531776</v>
      </c>
      <c r="T209" s="35">
        <f t="shared" si="218"/>
        <v>4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250.42973364604609</v>
      </c>
      <c r="V209" s="57">
        <v>0</v>
      </c>
      <c r="W209" s="57">
        <v>0</v>
      </c>
      <c r="X209" s="61">
        <f t="shared" si="209"/>
        <v>4</v>
      </c>
      <c r="Y209" s="40">
        <f t="shared" si="219"/>
        <v>0</v>
      </c>
      <c r="Z209" s="40">
        <f t="shared" si="220"/>
        <v>0</v>
      </c>
      <c r="AA209" s="44">
        <f t="shared" si="221"/>
        <v>1001.7189345841844</v>
      </c>
      <c r="AB209" s="35">
        <f t="shared" si="222"/>
        <v>4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271.33555698940535</v>
      </c>
      <c r="AD209" s="57">
        <v>0</v>
      </c>
      <c r="AE209" s="57">
        <v>0</v>
      </c>
      <c r="AF209" s="61">
        <f t="shared" si="210"/>
        <v>4</v>
      </c>
      <c r="AG209" s="40">
        <f t="shared" si="223"/>
        <v>0</v>
      </c>
      <c r="AH209" s="40">
        <f t="shared" si="224"/>
        <v>0</v>
      </c>
      <c r="AI209" s="44">
        <f t="shared" si="225"/>
        <v>1085.3422279576214</v>
      </c>
      <c r="AJ209" s="35">
        <f t="shared" si="211"/>
        <v>4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293.43673092105297</v>
      </c>
      <c r="AL209" s="57">
        <v>0</v>
      </c>
      <c r="AM209" s="57">
        <v>0</v>
      </c>
      <c r="AN209" s="61">
        <f t="shared" si="212"/>
        <v>4</v>
      </c>
      <c r="AO209" s="40">
        <f t="shared" si="226"/>
        <v>0</v>
      </c>
      <c r="AP209" s="40">
        <f t="shared" si="227"/>
        <v>0</v>
      </c>
      <c r="AQ209" s="44">
        <f t="shared" si="228"/>
        <v>1173.7469236842119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2</v>
      </c>
      <c r="G210" s="35">
        <f>SUMIFS(WORKING!$AC$3:$AC$6802,WORKING!$A$3:$A$6802,Results!$D$3,WORKING!$B$3:$B$6802,Results!A210,WORKING!$C$3:$C$6802,Results!C210)/1000</f>
        <v>594.8649200000001</v>
      </c>
      <c r="H210" s="35">
        <f t="shared" si="213"/>
        <v>297.43246000000005</v>
      </c>
      <c r="I210" s="187">
        <v>1</v>
      </c>
      <c r="J210" s="212">
        <v>1074</v>
      </c>
      <c r="K210" s="217">
        <f t="shared" si="214"/>
        <v>1074</v>
      </c>
      <c r="L210" s="34">
        <f t="shared" si="207"/>
        <v>1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1168.7114778302855</v>
      </c>
      <c r="N210" s="57">
        <v>0</v>
      </c>
      <c r="O210" s="57">
        <v>0</v>
      </c>
      <c r="P210" s="61">
        <f t="shared" si="208"/>
        <v>1</v>
      </c>
      <c r="Q210" s="40">
        <f t="shared" si="215"/>
        <v>0</v>
      </c>
      <c r="R210" s="40">
        <f t="shared" si="216"/>
        <v>0</v>
      </c>
      <c r="S210" s="44">
        <f t="shared" si="217"/>
        <v>1168.7114778302855</v>
      </c>
      <c r="T210" s="35">
        <f t="shared" si="218"/>
        <v>1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1267.9597589765426</v>
      </c>
      <c r="V210" s="57">
        <v>0</v>
      </c>
      <c r="W210" s="57">
        <v>0</v>
      </c>
      <c r="X210" s="61">
        <f t="shared" si="209"/>
        <v>1</v>
      </c>
      <c r="Y210" s="40">
        <f t="shared" si="219"/>
        <v>0</v>
      </c>
      <c r="Z210" s="40">
        <f t="shared" si="220"/>
        <v>0</v>
      </c>
      <c r="AA210" s="44">
        <f t="shared" si="221"/>
        <v>1267.9597589765426</v>
      </c>
      <c r="AB210" s="35">
        <f t="shared" si="222"/>
        <v>1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1374.3510759074936</v>
      </c>
      <c r="AD210" s="57">
        <v>0</v>
      </c>
      <c r="AE210" s="57">
        <v>0</v>
      </c>
      <c r="AF210" s="61">
        <f t="shared" si="210"/>
        <v>1</v>
      </c>
      <c r="AG210" s="40">
        <f t="shared" si="223"/>
        <v>0</v>
      </c>
      <c r="AH210" s="40">
        <f t="shared" si="224"/>
        <v>0</v>
      </c>
      <c r="AI210" s="44">
        <f t="shared" si="225"/>
        <v>1374.3510759074936</v>
      </c>
      <c r="AJ210" s="35">
        <f t="shared" si="211"/>
        <v>1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1486.8832608392088</v>
      </c>
      <c r="AL210" s="57">
        <v>0</v>
      </c>
      <c r="AM210" s="57">
        <v>0</v>
      </c>
      <c r="AN210" s="61">
        <f t="shared" si="212"/>
        <v>1</v>
      </c>
      <c r="AO210" s="40">
        <f t="shared" si="226"/>
        <v>0</v>
      </c>
      <c r="AP210" s="40">
        <f t="shared" si="227"/>
        <v>0</v>
      </c>
      <c r="AQ210" s="44">
        <f t="shared" si="228"/>
        <v>1486.8832608392088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>
        <v>3</v>
      </c>
      <c r="J211" s="212">
        <v>747</v>
      </c>
      <c r="K211" s="217">
        <f t="shared" si="214"/>
        <v>249</v>
      </c>
      <c r="L211" s="34">
        <f t="shared" si="207"/>
        <v>3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267.38309344568023</v>
      </c>
      <c r="N211" s="57">
        <v>0</v>
      </c>
      <c r="O211" s="57">
        <v>0</v>
      </c>
      <c r="P211" s="61">
        <f t="shared" si="208"/>
        <v>3</v>
      </c>
      <c r="Q211" s="40">
        <f t="shared" si="215"/>
        <v>0</v>
      </c>
      <c r="R211" s="40">
        <f t="shared" si="216"/>
        <v>0</v>
      </c>
      <c r="S211" s="44">
        <f t="shared" si="217"/>
        <v>802.14928033704064</v>
      </c>
      <c r="T211" s="35">
        <f t="shared" si="218"/>
        <v>3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286.10876550077273</v>
      </c>
      <c r="V211" s="57">
        <v>0</v>
      </c>
      <c r="W211" s="57">
        <v>0</v>
      </c>
      <c r="X211" s="61">
        <f t="shared" si="209"/>
        <v>3</v>
      </c>
      <c r="Y211" s="40">
        <f t="shared" si="219"/>
        <v>0</v>
      </c>
      <c r="Z211" s="40">
        <f t="shared" si="220"/>
        <v>0</v>
      </c>
      <c r="AA211" s="44">
        <f t="shared" si="221"/>
        <v>858.3262965023182</v>
      </c>
      <c r="AB211" s="35">
        <f t="shared" si="222"/>
        <v>3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305.85974601348113</v>
      </c>
      <c r="AD211" s="57">
        <v>0</v>
      </c>
      <c r="AE211" s="57">
        <v>0</v>
      </c>
      <c r="AF211" s="61">
        <f t="shared" si="210"/>
        <v>3</v>
      </c>
      <c r="AG211" s="40">
        <f t="shared" si="223"/>
        <v>0</v>
      </c>
      <c r="AH211" s="40">
        <f t="shared" si="224"/>
        <v>0</v>
      </c>
      <c r="AI211" s="44">
        <f t="shared" si="225"/>
        <v>917.57923804044344</v>
      </c>
      <c r="AJ211" s="35">
        <f t="shared" si="211"/>
        <v>3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326.36247882619455</v>
      </c>
      <c r="AL211" s="57">
        <v>0</v>
      </c>
      <c r="AM211" s="57">
        <v>0</v>
      </c>
      <c r="AN211" s="61">
        <f t="shared" si="212"/>
        <v>3</v>
      </c>
      <c r="AO211" s="40">
        <f t="shared" si="226"/>
        <v>0</v>
      </c>
      <c r="AP211" s="40">
        <f t="shared" si="227"/>
        <v>0</v>
      </c>
      <c r="AQ211" s="44">
        <f t="shared" si="228"/>
        <v>979.08743647858364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2</v>
      </c>
      <c r="G212" s="35">
        <f>SUMIFS(WORKING!$AC$3:$AC$6802,WORKING!$A$3:$A$6802,Results!$D$3,WORKING!$B$3:$B$6802,Results!A212,WORKING!$C$3:$C$6802,Results!C212)/1000</f>
        <v>1003.82403</v>
      </c>
      <c r="H212" s="35">
        <f t="shared" si="213"/>
        <v>501.912015</v>
      </c>
      <c r="I212" s="187">
        <v>3</v>
      </c>
      <c r="J212" s="212">
        <v>890</v>
      </c>
      <c r="K212" s="217">
        <f t="shared" si="214"/>
        <v>296.66666666666669</v>
      </c>
      <c r="L212" s="34">
        <f t="shared" si="207"/>
        <v>3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323.28046398425676</v>
      </c>
      <c r="N212" s="57">
        <v>0</v>
      </c>
      <c r="O212" s="57">
        <v>0</v>
      </c>
      <c r="P212" s="61">
        <f t="shared" si="208"/>
        <v>3</v>
      </c>
      <c r="Q212" s="40">
        <f t="shared" si="215"/>
        <v>0</v>
      </c>
      <c r="R212" s="40">
        <f t="shared" si="216"/>
        <v>0</v>
      </c>
      <c r="S212" s="44">
        <f t="shared" si="217"/>
        <v>969.84139195277021</v>
      </c>
      <c r="T212" s="35">
        <f t="shared" si="218"/>
        <v>3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350.8730901012313</v>
      </c>
      <c r="V212" s="57">
        <v>0</v>
      </c>
      <c r="W212" s="57">
        <v>0</v>
      </c>
      <c r="X212" s="61">
        <f t="shared" si="209"/>
        <v>3</v>
      </c>
      <c r="Y212" s="40">
        <f t="shared" si="219"/>
        <v>0</v>
      </c>
      <c r="Z212" s="40">
        <f t="shared" si="220"/>
        <v>0</v>
      </c>
      <c r="AA212" s="44">
        <f t="shared" si="221"/>
        <v>1052.6192703036938</v>
      </c>
      <c r="AB212" s="35">
        <f t="shared" si="222"/>
        <v>3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380.4650379181802</v>
      </c>
      <c r="AD212" s="57">
        <v>0</v>
      </c>
      <c r="AE212" s="57">
        <v>0</v>
      </c>
      <c r="AF212" s="61">
        <f t="shared" si="210"/>
        <v>3</v>
      </c>
      <c r="AG212" s="40">
        <f t="shared" si="223"/>
        <v>0</v>
      </c>
      <c r="AH212" s="40">
        <f t="shared" si="224"/>
        <v>0</v>
      </c>
      <c r="AI212" s="44">
        <f t="shared" si="225"/>
        <v>1141.3951137545405</v>
      </c>
      <c r="AJ212" s="35">
        <f t="shared" si="211"/>
        <v>3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411.78117688297249</v>
      </c>
      <c r="AL212" s="57">
        <v>0</v>
      </c>
      <c r="AM212" s="57">
        <v>0</v>
      </c>
      <c r="AN212" s="61">
        <f t="shared" si="212"/>
        <v>3</v>
      </c>
      <c r="AO212" s="40">
        <f t="shared" si="226"/>
        <v>0</v>
      </c>
      <c r="AP212" s="40">
        <f t="shared" si="227"/>
        <v>0</v>
      </c>
      <c r="AQ212" s="44">
        <f t="shared" si="228"/>
        <v>1235.3435306489175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>
        <v>4</v>
      </c>
      <c r="J213" s="212">
        <v>1756</v>
      </c>
      <c r="K213" s="217">
        <f t="shared" si="214"/>
        <v>439</v>
      </c>
      <c r="L213" s="34">
        <f t="shared" si="207"/>
        <v>4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471.41035350463301</v>
      </c>
      <c r="N213" s="57">
        <v>0</v>
      </c>
      <c r="O213" s="57">
        <v>1</v>
      </c>
      <c r="P213" s="61">
        <f t="shared" si="208"/>
        <v>3</v>
      </c>
      <c r="Q213" s="40">
        <f t="shared" si="215"/>
        <v>0</v>
      </c>
      <c r="R213" s="40">
        <f t="shared" si="216"/>
        <v>-471.41035350463301</v>
      </c>
      <c r="S213" s="44">
        <f t="shared" si="217"/>
        <v>1414.2310605138991</v>
      </c>
      <c r="T213" s="35">
        <f t="shared" si="218"/>
        <v>3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504.42469098329008</v>
      </c>
      <c r="V213" s="57">
        <v>0</v>
      </c>
      <c r="W213" s="57">
        <v>0</v>
      </c>
      <c r="X213" s="61">
        <f t="shared" si="209"/>
        <v>3</v>
      </c>
      <c r="Y213" s="40">
        <f t="shared" si="219"/>
        <v>0</v>
      </c>
      <c r="Z213" s="40">
        <f t="shared" si="220"/>
        <v>0</v>
      </c>
      <c r="AA213" s="44">
        <f t="shared" si="221"/>
        <v>1513.2740729498703</v>
      </c>
      <c r="AB213" s="35">
        <f t="shared" si="222"/>
        <v>3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539.24670080288445</v>
      </c>
      <c r="AD213" s="57">
        <v>0</v>
      </c>
      <c r="AE213" s="57">
        <v>0</v>
      </c>
      <c r="AF213" s="61">
        <f t="shared" si="210"/>
        <v>3</v>
      </c>
      <c r="AG213" s="40">
        <f t="shared" si="223"/>
        <v>0</v>
      </c>
      <c r="AH213" s="40">
        <f t="shared" si="224"/>
        <v>0</v>
      </c>
      <c r="AI213" s="44">
        <f t="shared" si="225"/>
        <v>1617.7401024086535</v>
      </c>
      <c r="AJ213" s="35">
        <f t="shared" si="211"/>
        <v>3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575.39408917549963</v>
      </c>
      <c r="AL213" s="57">
        <v>0</v>
      </c>
      <c r="AM213" s="57">
        <v>0</v>
      </c>
      <c r="AN213" s="61">
        <f t="shared" si="212"/>
        <v>3</v>
      </c>
      <c r="AO213" s="40">
        <f t="shared" si="226"/>
        <v>0</v>
      </c>
      <c r="AP213" s="40">
        <f t="shared" si="227"/>
        <v>0</v>
      </c>
      <c r="AQ213" s="44">
        <f t="shared" si="228"/>
        <v>1726.1822675264989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1</v>
      </c>
      <c r="G214" s="35">
        <f>SUMIFS(WORKING!$AC$3:$AC$6802,WORKING!$A$3:$A$6802,Results!$D$3,WORKING!$B$3:$B$6802,Results!A214,WORKING!$C$3:$C$6802,Results!C214)/1000</f>
        <v>1276.44589</v>
      </c>
      <c r="H214" s="35">
        <f t="shared" si="213"/>
        <v>1276.44589</v>
      </c>
      <c r="I214" s="187">
        <v>3</v>
      </c>
      <c r="J214" s="212">
        <v>2891</v>
      </c>
      <c r="K214" s="217">
        <f t="shared" si="214"/>
        <v>963.66666666666663</v>
      </c>
      <c r="L214" s="34">
        <f t="shared" si="207"/>
        <v>3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1052.0628039445394</v>
      </c>
      <c r="N214" s="57">
        <v>0</v>
      </c>
      <c r="O214" s="57">
        <v>0</v>
      </c>
      <c r="P214" s="61">
        <f t="shared" si="208"/>
        <v>3</v>
      </c>
      <c r="Q214" s="40">
        <f t="shared" si="215"/>
        <v>0</v>
      </c>
      <c r="R214" s="40">
        <f t="shared" si="216"/>
        <v>0</v>
      </c>
      <c r="S214" s="44">
        <f t="shared" si="217"/>
        <v>3156.1884118336184</v>
      </c>
      <c r="T214" s="35">
        <f t="shared" si="218"/>
        <v>3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1142.1627755327406</v>
      </c>
      <c r="V214" s="57">
        <v>0</v>
      </c>
      <c r="W214" s="57">
        <v>0</v>
      </c>
      <c r="X214" s="61">
        <f t="shared" si="209"/>
        <v>3</v>
      </c>
      <c r="Y214" s="40">
        <f t="shared" si="219"/>
        <v>0</v>
      </c>
      <c r="Z214" s="40">
        <f t="shared" si="220"/>
        <v>0</v>
      </c>
      <c r="AA214" s="44">
        <f t="shared" si="221"/>
        <v>3426.4883265982216</v>
      </c>
      <c r="AB214" s="35">
        <f t="shared" si="222"/>
        <v>3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1238.8201622414531</v>
      </c>
      <c r="AD214" s="57">
        <v>0</v>
      </c>
      <c r="AE214" s="57">
        <v>0</v>
      </c>
      <c r="AF214" s="61">
        <f t="shared" si="210"/>
        <v>3</v>
      </c>
      <c r="AG214" s="40">
        <f t="shared" si="223"/>
        <v>0</v>
      </c>
      <c r="AH214" s="40">
        <f t="shared" si="224"/>
        <v>0</v>
      </c>
      <c r="AI214" s="44">
        <f t="shared" si="225"/>
        <v>3716.4604867243593</v>
      </c>
      <c r="AJ214" s="35">
        <f t="shared" si="211"/>
        <v>3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1341.1434794175816</v>
      </c>
      <c r="AL214" s="57">
        <v>0</v>
      </c>
      <c r="AM214" s="57">
        <v>0</v>
      </c>
      <c r="AN214" s="61">
        <f t="shared" si="212"/>
        <v>3</v>
      </c>
      <c r="AO214" s="40">
        <f t="shared" si="226"/>
        <v>0</v>
      </c>
      <c r="AP214" s="40">
        <f t="shared" si="227"/>
        <v>0</v>
      </c>
      <c r="AQ214" s="44">
        <f t="shared" si="228"/>
        <v>4023.4304382527448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1</v>
      </c>
      <c r="G215" s="35">
        <f>SUMIFS(WORKING!$AC$3:$AC$6802,WORKING!$A$3:$A$6802,Results!$D$3,WORKING!$B$3:$B$6802,Results!A215,WORKING!$C$3:$C$6802,Results!C215)/1000</f>
        <v>795.15975999999978</v>
      </c>
      <c r="H215" s="35">
        <f t="shared" si="213"/>
        <v>795.15975999999978</v>
      </c>
      <c r="I215" s="187">
        <v>13</v>
      </c>
      <c r="J215" s="212">
        <v>9309</v>
      </c>
      <c r="K215" s="217">
        <f t="shared" si="214"/>
        <v>716.07692307692309</v>
      </c>
      <c r="L215" s="34">
        <f t="shared" si="207"/>
        <v>13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781.72732901278266</v>
      </c>
      <c r="N215" s="57">
        <v>0</v>
      </c>
      <c r="O215" s="57">
        <v>2</v>
      </c>
      <c r="P215" s="61">
        <f t="shared" si="208"/>
        <v>11</v>
      </c>
      <c r="Q215" s="40">
        <f t="shared" si="215"/>
        <v>0</v>
      </c>
      <c r="R215" s="40">
        <f t="shared" si="216"/>
        <v>-1563.4546580255653</v>
      </c>
      <c r="S215" s="44">
        <f t="shared" si="217"/>
        <v>8599.0006191406101</v>
      </c>
      <c r="T215" s="35">
        <f t="shared" si="218"/>
        <v>11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848.63789044470491</v>
      </c>
      <c r="V215" s="57">
        <v>0</v>
      </c>
      <c r="W215" s="57">
        <v>0</v>
      </c>
      <c r="X215" s="61">
        <f t="shared" si="209"/>
        <v>11</v>
      </c>
      <c r="Y215" s="40">
        <f t="shared" si="219"/>
        <v>0</v>
      </c>
      <c r="Z215" s="40">
        <f t="shared" si="220"/>
        <v>0</v>
      </c>
      <c r="AA215" s="44">
        <f t="shared" si="221"/>
        <v>9335.0167948917533</v>
      </c>
      <c r="AB215" s="35">
        <f t="shared" si="222"/>
        <v>11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920.41453728828549</v>
      </c>
      <c r="AD215" s="57">
        <v>0</v>
      </c>
      <c r="AE215" s="57">
        <v>0</v>
      </c>
      <c r="AF215" s="61">
        <f t="shared" si="210"/>
        <v>11</v>
      </c>
      <c r="AG215" s="40">
        <f t="shared" si="223"/>
        <v>0</v>
      </c>
      <c r="AH215" s="40">
        <f t="shared" si="224"/>
        <v>0</v>
      </c>
      <c r="AI215" s="44">
        <f t="shared" si="225"/>
        <v>10124.55991017114</v>
      </c>
      <c r="AJ215" s="35">
        <f t="shared" si="211"/>
        <v>11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996.39430032994278</v>
      </c>
      <c r="AL215" s="57">
        <v>0</v>
      </c>
      <c r="AM215" s="57">
        <v>0</v>
      </c>
      <c r="AN215" s="61">
        <f t="shared" si="212"/>
        <v>11</v>
      </c>
      <c r="AO215" s="40">
        <f t="shared" si="226"/>
        <v>0</v>
      </c>
      <c r="AP215" s="40">
        <f t="shared" si="227"/>
        <v>0</v>
      </c>
      <c r="AQ215" s="44">
        <f t="shared" si="228"/>
        <v>10960.337303629371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4</v>
      </c>
      <c r="G216" s="35">
        <f>SUMIFS(WORKING!$AC$3:$AC$6802,WORKING!$A$3:$A$6802,Results!$D$3,WORKING!$B$3:$B$6802,Results!A216,WORKING!$C$3:$C$6802,Results!C216)/1000</f>
        <v>3058.4312500000001</v>
      </c>
      <c r="H216" s="35">
        <f t="shared" si="213"/>
        <v>764.60781250000002</v>
      </c>
      <c r="I216" s="187">
        <v>9</v>
      </c>
      <c r="J216" s="212">
        <v>7348</v>
      </c>
      <c r="K216" s="217">
        <f t="shared" si="214"/>
        <v>816.44444444444446</v>
      </c>
      <c r="L216" s="34">
        <f t="shared" si="207"/>
        <v>9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855.77013312434883</v>
      </c>
      <c r="N216" s="57">
        <v>0</v>
      </c>
      <c r="O216" s="57">
        <v>0</v>
      </c>
      <c r="P216" s="61">
        <f t="shared" si="208"/>
        <v>9</v>
      </c>
      <c r="Q216" s="40">
        <f t="shared" si="215"/>
        <v>0</v>
      </c>
      <c r="R216" s="40">
        <f t="shared" si="216"/>
        <v>0</v>
      </c>
      <c r="S216" s="44">
        <f t="shared" si="217"/>
        <v>7701.9311981191395</v>
      </c>
      <c r="T216" s="35">
        <f t="shared" si="218"/>
        <v>9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920.43506684589966</v>
      </c>
      <c r="V216" s="57">
        <v>0</v>
      </c>
      <c r="W216" s="57">
        <v>0</v>
      </c>
      <c r="X216" s="61">
        <f t="shared" si="209"/>
        <v>9</v>
      </c>
      <c r="Y216" s="40">
        <f t="shared" si="219"/>
        <v>0</v>
      </c>
      <c r="Z216" s="40">
        <f t="shared" si="220"/>
        <v>0</v>
      </c>
      <c r="AA216" s="44">
        <f t="shared" si="221"/>
        <v>8283.9156016130964</v>
      </c>
      <c r="AB216" s="35">
        <f t="shared" si="222"/>
        <v>9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989.05235595742317</v>
      </c>
      <c r="AD216" s="57">
        <v>0</v>
      </c>
      <c r="AE216" s="57">
        <v>0</v>
      </c>
      <c r="AF216" s="61">
        <f t="shared" si="210"/>
        <v>9</v>
      </c>
      <c r="AG216" s="40">
        <f t="shared" si="223"/>
        <v>0</v>
      </c>
      <c r="AH216" s="40">
        <f t="shared" si="224"/>
        <v>0</v>
      </c>
      <c r="AI216" s="44">
        <f t="shared" si="225"/>
        <v>8901.4712036168094</v>
      </c>
      <c r="AJ216" s="35">
        <f t="shared" si="211"/>
        <v>9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1060.7778303921398</v>
      </c>
      <c r="AL216" s="57">
        <v>0</v>
      </c>
      <c r="AM216" s="57">
        <v>0</v>
      </c>
      <c r="AN216" s="61">
        <f t="shared" si="212"/>
        <v>9</v>
      </c>
      <c r="AO216" s="40">
        <f t="shared" si="226"/>
        <v>0</v>
      </c>
      <c r="AP216" s="40">
        <f t="shared" si="227"/>
        <v>0</v>
      </c>
      <c r="AQ216" s="44">
        <f t="shared" si="228"/>
        <v>9547.0004735292587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2</v>
      </c>
      <c r="G217" s="35">
        <f>SUMIFS(WORKING!$AC$3:$AC$6802,WORKING!$A$3:$A$6802,Results!$D$3,WORKING!$B$3:$B$6802,Results!A217,WORKING!$C$3:$C$6802,Results!C217)/1000</f>
        <v>2214.1161400000001</v>
      </c>
      <c r="H217" s="35">
        <f t="shared" si="213"/>
        <v>1107.05807</v>
      </c>
      <c r="I217" s="187">
        <v>5</v>
      </c>
      <c r="J217" s="212">
        <v>5881</v>
      </c>
      <c r="K217" s="217">
        <f t="shared" si="214"/>
        <v>1176.2</v>
      </c>
      <c r="L217" s="34">
        <f t="shared" si="207"/>
        <v>5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1233.0806248768577</v>
      </c>
      <c r="N217" s="57">
        <v>0</v>
      </c>
      <c r="O217" s="57">
        <v>1</v>
      </c>
      <c r="P217" s="61">
        <f t="shared" si="208"/>
        <v>4</v>
      </c>
      <c r="Q217" s="40">
        <f t="shared" si="215"/>
        <v>0</v>
      </c>
      <c r="R217" s="40">
        <f t="shared" si="216"/>
        <v>-1233.0806248768577</v>
      </c>
      <c r="S217" s="44">
        <f t="shared" si="217"/>
        <v>4932.3224995074306</v>
      </c>
      <c r="T217" s="35">
        <f t="shared" si="218"/>
        <v>4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1326.5001894573975</v>
      </c>
      <c r="V217" s="57">
        <v>0</v>
      </c>
      <c r="W217" s="57">
        <v>0</v>
      </c>
      <c r="X217" s="61">
        <f t="shared" si="209"/>
        <v>4</v>
      </c>
      <c r="Y217" s="40">
        <f t="shared" si="219"/>
        <v>0</v>
      </c>
      <c r="Z217" s="40">
        <f t="shared" si="220"/>
        <v>0</v>
      </c>
      <c r="AA217" s="44">
        <f t="shared" si="221"/>
        <v>5306.0007578295899</v>
      </c>
      <c r="AB217" s="35">
        <f t="shared" si="222"/>
        <v>4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1425.6511006401126</v>
      </c>
      <c r="AD217" s="57">
        <v>0</v>
      </c>
      <c r="AE217" s="57">
        <v>0</v>
      </c>
      <c r="AF217" s="61">
        <f t="shared" si="210"/>
        <v>4</v>
      </c>
      <c r="AG217" s="40">
        <f t="shared" si="223"/>
        <v>0</v>
      </c>
      <c r="AH217" s="40">
        <f t="shared" si="224"/>
        <v>0</v>
      </c>
      <c r="AI217" s="44">
        <f t="shared" si="225"/>
        <v>5702.6044025604506</v>
      </c>
      <c r="AJ217" s="35">
        <f t="shared" si="211"/>
        <v>4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1529.3194721986142</v>
      </c>
      <c r="AL217" s="57">
        <v>0</v>
      </c>
      <c r="AM217" s="57">
        <v>0</v>
      </c>
      <c r="AN217" s="61">
        <f t="shared" si="212"/>
        <v>4</v>
      </c>
      <c r="AO217" s="40">
        <f t="shared" si="226"/>
        <v>0</v>
      </c>
      <c r="AP217" s="40">
        <f t="shared" si="227"/>
        <v>0</v>
      </c>
      <c r="AQ217" s="44">
        <f t="shared" si="228"/>
        <v>6117.2778887944569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1</v>
      </c>
      <c r="G218" s="35">
        <f>SUMIFS(WORKING!$AC$3:$AC$6802,WORKING!$A$3:$A$6802,Results!$D$3,WORKING!$B$3:$B$6802,Results!A218,WORKING!$C$3:$C$6802,Results!C218)/1000</f>
        <v>1246.7091200000002</v>
      </c>
      <c r="H218" s="35">
        <f t="shared" si="213"/>
        <v>1246.7091200000002</v>
      </c>
      <c r="I218" s="187">
        <v>2</v>
      </c>
      <c r="J218" s="212">
        <v>1396</v>
      </c>
      <c r="K218" s="217">
        <f t="shared" si="214"/>
        <v>698</v>
      </c>
      <c r="L218" s="34">
        <f t="shared" si="207"/>
        <v>2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731.84895452391152</v>
      </c>
      <c r="N218" s="57">
        <v>0</v>
      </c>
      <c r="O218" s="57">
        <v>0</v>
      </c>
      <c r="P218" s="61">
        <f t="shared" si="208"/>
        <v>2</v>
      </c>
      <c r="Q218" s="40">
        <f t="shared" si="215"/>
        <v>0</v>
      </c>
      <c r="R218" s="40">
        <f t="shared" si="216"/>
        <v>0</v>
      </c>
      <c r="S218" s="44">
        <f t="shared" si="217"/>
        <v>1463.697909047823</v>
      </c>
      <c r="T218" s="35">
        <f t="shared" si="218"/>
        <v>2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787.39569253600644</v>
      </c>
      <c r="V218" s="57">
        <v>0</v>
      </c>
      <c r="W218" s="57">
        <v>0</v>
      </c>
      <c r="X218" s="61">
        <f t="shared" si="209"/>
        <v>2</v>
      </c>
      <c r="Y218" s="40">
        <f t="shared" si="219"/>
        <v>0</v>
      </c>
      <c r="Z218" s="40">
        <f t="shared" si="220"/>
        <v>0</v>
      </c>
      <c r="AA218" s="44">
        <f t="shared" si="221"/>
        <v>1574.7913850720129</v>
      </c>
      <c r="AB218" s="35">
        <f t="shared" si="222"/>
        <v>2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846.35917658179073</v>
      </c>
      <c r="AD218" s="57">
        <v>0</v>
      </c>
      <c r="AE218" s="57">
        <v>0</v>
      </c>
      <c r="AF218" s="61">
        <f t="shared" si="210"/>
        <v>2</v>
      </c>
      <c r="AG218" s="40">
        <f t="shared" si="223"/>
        <v>0</v>
      </c>
      <c r="AH218" s="40">
        <f t="shared" si="224"/>
        <v>0</v>
      </c>
      <c r="AI218" s="44">
        <f t="shared" si="225"/>
        <v>1692.7183531635815</v>
      </c>
      <c r="AJ218" s="35">
        <f t="shared" si="211"/>
        <v>2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908.01998520109873</v>
      </c>
      <c r="AL218" s="57">
        <v>0</v>
      </c>
      <c r="AM218" s="57">
        <v>0</v>
      </c>
      <c r="AN218" s="61">
        <f t="shared" si="212"/>
        <v>2</v>
      </c>
      <c r="AO218" s="40">
        <f t="shared" si="226"/>
        <v>0</v>
      </c>
      <c r="AP218" s="40">
        <f t="shared" si="227"/>
        <v>0</v>
      </c>
      <c r="AQ218" s="44">
        <f t="shared" si="228"/>
        <v>1816.0399704021975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18</v>
      </c>
      <c r="G224" s="41">
        <f>SUM(G204:G223)</f>
        <v>10936.450999999999</v>
      </c>
      <c r="H224" s="41">
        <f>IFERROR(G224/F224,0)</f>
        <v>607.58061111111101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47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32142</v>
      </c>
      <c r="K224" s="41">
        <f>IFERROR(J224/I224,"")</f>
        <v>683.87234042553189</v>
      </c>
      <c r="L224" s="41">
        <f>SUM(L204:L223)</f>
        <v>47</v>
      </c>
      <c r="M224" s="41">
        <f>IFERROR(S224/P224,0)</f>
        <v>723.9941553227427</v>
      </c>
      <c r="N224" s="41">
        <f t="shared" ref="N224:T224" si="230">SUM(N204:N223)</f>
        <v>0</v>
      </c>
      <c r="O224" s="41">
        <f t="shared" si="230"/>
        <v>4</v>
      </c>
      <c r="P224" s="41">
        <f t="shared" si="230"/>
        <v>43</v>
      </c>
      <c r="Q224" s="41">
        <f t="shared" si="230"/>
        <v>0</v>
      </c>
      <c r="R224" s="41">
        <f t="shared" si="230"/>
        <v>-3267.9456364070561</v>
      </c>
      <c r="S224" s="45">
        <f t="shared" si="230"/>
        <v>31131.748678877935</v>
      </c>
      <c r="T224" s="41">
        <f t="shared" si="230"/>
        <v>43</v>
      </c>
      <c r="U224" s="41">
        <f>IFERROR(AA224/X224,0)</f>
        <v>781.86305114700656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43</v>
      </c>
      <c r="Y224" s="41">
        <f t="shared" si="231"/>
        <v>0</v>
      </c>
      <c r="Z224" s="41">
        <f t="shared" si="231"/>
        <v>0</v>
      </c>
      <c r="AA224" s="45">
        <f t="shared" si="231"/>
        <v>33620.111199321283</v>
      </c>
      <c r="AB224" s="41">
        <f t="shared" si="231"/>
        <v>43</v>
      </c>
      <c r="AC224" s="41">
        <f>IFERROR(AI224/AF224,0)</f>
        <v>843.58656079779303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43</v>
      </c>
      <c r="AG224" s="41">
        <f t="shared" si="232"/>
        <v>0</v>
      </c>
      <c r="AH224" s="41">
        <f t="shared" si="232"/>
        <v>0</v>
      </c>
      <c r="AI224" s="45">
        <f t="shared" si="232"/>
        <v>36274.222114305099</v>
      </c>
      <c r="AJ224" s="41">
        <f t="shared" si="232"/>
        <v>43</v>
      </c>
      <c r="AK224" s="41">
        <f>IFERROR(AQ224/AN224,0)</f>
        <v>908.4960347391966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43</v>
      </c>
      <c r="AO224" s="41">
        <f t="shared" si="233"/>
        <v>0</v>
      </c>
      <c r="AP224" s="41">
        <f t="shared" si="233"/>
        <v>0</v>
      </c>
      <c r="AQ224" s="45">
        <f t="shared" si="233"/>
        <v>39065.329493785452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35193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37830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40292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43354.192000000003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4061.2513211220648</v>
      </c>
      <c r="T226" s="39"/>
      <c r="U226" s="39"/>
      <c r="V226" s="53"/>
      <c r="W226" s="53"/>
      <c r="X226" s="110"/>
      <c r="Y226" s="39"/>
      <c r="Z226" s="39"/>
      <c r="AA226" s="54">
        <f>AA225-AA224</f>
        <v>4209.8888006787165</v>
      </c>
      <c r="AB226" s="39"/>
      <c r="AC226" s="53"/>
      <c r="AD226" s="53"/>
      <c r="AE226" s="110"/>
      <c r="AF226" s="39"/>
      <c r="AG226" s="39"/>
      <c r="AH226" s="39"/>
      <c r="AI226" s="54">
        <f>AI225-AI224</f>
        <v>4017.7778856949008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4288.8625062145511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1</v>
      </c>
      <c r="G232" s="35">
        <f>SUMIFS(WORKING!$AC$3:$AC$6802,WORKING!$A$3:$A$6802,Results!$D$3,WORKING!$B$3:$B$6802,Results!A232,WORKING!$C$3:$C$6802,Results!C232)/1000</f>
        <v>43.520980000000002</v>
      </c>
      <c r="H232" s="35">
        <f>IFERROR(G232/F232,0)</f>
        <v>43.520980000000002</v>
      </c>
      <c r="I232" s="156">
        <v>0</v>
      </c>
      <c r="J232" s="211">
        <v>0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47.531003097200006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51.62104591371407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56.010641552986733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60.659804855092389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3</v>
      </c>
      <c r="G237" s="35">
        <f>SUMIFS(WORKING!$AC$3:$AC$6802,WORKING!$A$3:$A$6802,Results!$D$3,WORKING!$B$3:$B$6802,Results!A237,WORKING!$C$3:$C$6802,Results!C237)/1000</f>
        <v>705.47340999999994</v>
      </c>
      <c r="H237" s="35">
        <f t="shared" si="240"/>
        <v>235.15780333333331</v>
      </c>
      <c r="I237" s="187">
        <v>0</v>
      </c>
      <c r="J237" s="212">
        <v>0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255.54367710884173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277.13708444888266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300.27428414554566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324.73453773931573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1</v>
      </c>
      <c r="G238" s="35">
        <f>SUMIFS(WORKING!$AC$3:$AC$6802,WORKING!$A$3:$A$6802,Results!$D$3,WORKING!$B$3:$B$6802,Results!A238,WORKING!$C$3:$C$6802,Results!C238)/1000</f>
        <v>278.41530999999998</v>
      </c>
      <c r="H238" s="35">
        <f t="shared" si="240"/>
        <v>278.41530999999998</v>
      </c>
      <c r="I238" s="187">
        <v>0</v>
      </c>
      <c r="J238" s="212">
        <v>0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302.77557589136131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328.42759144515543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355.9201155292821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384.99270090441831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2</v>
      </c>
      <c r="G241" s="35">
        <f>SUMIFS(WORKING!$AC$3:$AC$6802,WORKING!$A$3:$A$6802,Results!$D$3,WORKING!$B$3:$B$6802,Results!A241,WORKING!$C$3:$C$6802,Results!C241)/1000</f>
        <v>970.71893999999998</v>
      </c>
      <c r="H241" s="35">
        <f t="shared" si="240"/>
        <v>485.35946999999999</v>
      </c>
      <c r="I241" s="187">
        <v>0</v>
      </c>
      <c r="J241" s="212">
        <v>0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528.84954920843256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573.97246418127077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622.36341622037423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673.5720706970385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5</v>
      </c>
      <c r="G242" s="35">
        <f>SUMIFS(WORKING!$AC$3:$AC$6802,WORKING!$A$3:$A$6802,Results!$D$3,WORKING!$B$3:$B$6802,Results!A242,WORKING!$C$3:$C$6802,Results!C242)/1000</f>
        <v>3082.5720899999997</v>
      </c>
      <c r="H242" s="35">
        <f t="shared" si="240"/>
        <v>616.51441799999998</v>
      </c>
      <c r="I242" s="187">
        <v>0</v>
      </c>
      <c r="J242" s="212">
        <v>0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673.04200365612007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730.65541351202035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792.45930909200899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857.88297815437977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3</v>
      </c>
      <c r="G243" s="35">
        <f>SUMIFS(WORKING!$AC$3:$AC$6802,WORKING!$A$3:$A$6802,Results!$D$3,WORKING!$B$3:$B$6802,Results!A243,WORKING!$C$3:$C$6802,Results!C243)/1000</f>
        <v>2243.6813299999999</v>
      </c>
      <c r="H243" s="35">
        <f t="shared" si="240"/>
        <v>747.89377666666667</v>
      </c>
      <c r="I243" s="187">
        <v>0</v>
      </c>
      <c r="J243" s="212">
        <v>0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816.44846872893334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886.31713318659683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961.26568207076571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1040.6014949222847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7</v>
      </c>
      <c r="G244" s="35">
        <f>SUMIFS(WORKING!$AC$3:$AC$6802,WORKING!$A$3:$A$6802,Results!$D$3,WORKING!$B$3:$B$6802,Results!A244,WORKING!$C$3:$C$6802,Results!C244)/1000</f>
        <v>6045.133960000001</v>
      </c>
      <c r="H244" s="35">
        <f t="shared" si="240"/>
        <v>863.59056571428584</v>
      </c>
      <c r="I244" s="187">
        <v>0</v>
      </c>
      <c r="J244" s="212">
        <v>0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905.25412668282161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973.73029255446397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1046.3981029649844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1122.365305786572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4</v>
      </c>
      <c r="G245" s="35">
        <f>SUMIFS(WORKING!$AC$3:$AC$6802,WORKING!$A$3:$A$6802,Results!$D$3,WORKING!$B$3:$B$6802,Results!A245,WORKING!$C$3:$C$6802,Results!C245)/1000</f>
        <v>4632.9182599999986</v>
      </c>
      <c r="H245" s="35">
        <f t="shared" si="240"/>
        <v>1158.2295649999996</v>
      </c>
      <c r="I245" s="187">
        <v>0</v>
      </c>
      <c r="J245" s="212">
        <v>0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1213.4260309844744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1304.4802613415454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1401.0441188334755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1501.9142506976712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1</v>
      </c>
      <c r="G246" s="35">
        <f>SUMIFS(WORKING!$AC$3:$AC$6802,WORKING!$A$3:$A$6802,Results!$D$3,WORKING!$B$3:$B$6802,Results!A246,WORKING!$C$3:$C$6802,Results!C246)/1000</f>
        <v>1444.64005</v>
      </c>
      <c r="H246" s="35">
        <f t="shared" si="240"/>
        <v>1444.64005</v>
      </c>
      <c r="I246" s="187">
        <v>0</v>
      </c>
      <c r="J246" s="212">
        <v>0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1514.6967851945499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1629.6611048835587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1751.6970230774846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1879.3155647151511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27</v>
      </c>
      <c r="G252" s="41">
        <f>SUM(G232:G251)</f>
        <v>19447.074330000003</v>
      </c>
      <c r="H252" s="41">
        <f>IFERROR(G252/F252,0)</f>
        <v>720.26201222222232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05/d9rnODaFjtDoVPrvFS5LsfikQuBnCJkUAcPlE4C0enOHPAvnFJrQNkVIzh0WJs4GhEuQ/3rqohBuEIpdA9Q==" saltValue="GmgZQ/awvyUd5Y6O8nqdZ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Public Service And Administration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10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42671.492363657409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NAT_HRBP__42671.4923636574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HRBP-Vote10.xlsx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terms/"/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df7ca258-5e24-45de-bd31-dbc76bc6765a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